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3165" activeTab="2"/>
  </bookViews>
  <sheets>
    <sheet name="Sheet4" sheetId="4" r:id="rId1"/>
    <sheet name="Data PBE HCTH98" sheetId="1" r:id="rId2"/>
    <sheet name="Calc for enthalpy" sheetId="2" r:id="rId3"/>
  </sheets>
  <definedNames>
    <definedName name="gas">'Calc for enthalpy'!$O$6</definedName>
    <definedName name="k">'Calc for enthalpy'!$O$3</definedName>
    <definedName name="p">'Calc for enthalpy'!$O$2</definedName>
    <definedName name="t">'Calc for enthalpy'!$O$5</definedName>
  </definedNames>
  <calcPr calcId="145621"/>
</workbook>
</file>

<file path=xl/calcChain.xml><?xml version="1.0" encoding="utf-8"?>
<calcChain xmlns="http://schemas.openxmlformats.org/spreadsheetml/2006/main">
  <c r="J7" i="4" l="1"/>
  <c r="J8" i="4"/>
  <c r="J9" i="4"/>
  <c r="J10" i="4"/>
  <c r="J11" i="4"/>
  <c r="J6" i="4"/>
  <c r="F11" i="4"/>
  <c r="F10" i="4"/>
  <c r="F9" i="4"/>
  <c r="F8" i="4"/>
  <c r="F7" i="4"/>
  <c r="F6" i="4"/>
  <c r="E6" i="4"/>
  <c r="D11" i="4" l="1"/>
  <c r="E7" i="4"/>
  <c r="D10" i="4"/>
  <c r="E11" i="4" l="1"/>
  <c r="E10" i="4"/>
  <c r="E9" i="4"/>
  <c r="E8" i="4"/>
  <c r="D7" i="4"/>
  <c r="E40" i="2" l="1"/>
  <c r="D9" i="4"/>
  <c r="D8" i="4"/>
  <c r="D6" i="4"/>
  <c r="C11" i="4"/>
  <c r="C10" i="4"/>
  <c r="C9" i="4"/>
  <c r="C8" i="4"/>
  <c r="C7" i="4"/>
  <c r="C6" i="4"/>
  <c r="J38" i="2" l="1"/>
  <c r="J29" i="2"/>
  <c r="J20" i="2"/>
  <c r="J11" i="2"/>
  <c r="J2" i="2"/>
  <c r="F40" i="2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E37" i="2"/>
  <c r="F37" i="2" s="1"/>
  <c r="E38" i="2"/>
  <c r="F38" i="2" s="1"/>
  <c r="E39" i="2"/>
  <c r="F39" i="2" s="1"/>
  <c r="E41" i="2"/>
  <c r="F41" i="2" s="1"/>
  <c r="E42" i="2"/>
  <c r="F42" i="2" s="1"/>
  <c r="E43" i="2"/>
  <c r="F43" i="2" s="1"/>
  <c r="E44" i="2"/>
  <c r="F44" i="2" s="1"/>
  <c r="E45" i="2"/>
  <c r="F45" i="2" s="1"/>
  <c r="E46" i="2"/>
  <c r="F46" i="2" s="1"/>
  <c r="E3" i="2"/>
  <c r="F3" i="2" s="1"/>
  <c r="E4" i="2"/>
  <c r="F4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 s="1"/>
  <c r="E2" i="2"/>
  <c r="F2" i="2" s="1"/>
  <c r="G6" i="2" l="1"/>
  <c r="H6" i="2" s="1"/>
  <c r="G42" i="2"/>
  <c r="H42" i="2" s="1"/>
  <c r="G37" i="2"/>
  <c r="H37" i="2" s="1"/>
  <c r="G29" i="2"/>
  <c r="H29" i="2" s="1"/>
  <c r="G25" i="2"/>
  <c r="H25" i="2" s="1"/>
  <c r="G21" i="2"/>
  <c r="H21" i="2" s="1"/>
  <c r="G17" i="2"/>
  <c r="H17" i="2" s="1"/>
  <c r="G9" i="2"/>
  <c r="H9" i="2" s="1"/>
  <c r="G5" i="2"/>
  <c r="H5" i="2" s="1"/>
  <c r="G45" i="2"/>
  <c r="H45" i="2" s="1"/>
  <c r="G41" i="2"/>
  <c r="H41" i="2" s="1"/>
  <c r="G36" i="2"/>
  <c r="H36" i="2" s="1"/>
  <c r="G32" i="2"/>
  <c r="H32" i="2" s="1"/>
  <c r="G28" i="2"/>
  <c r="H28" i="2" s="1"/>
  <c r="G24" i="2"/>
  <c r="H24" i="2" s="1"/>
  <c r="G20" i="2"/>
  <c r="H20" i="2" s="1"/>
  <c r="G16" i="2"/>
  <c r="H16" i="2" s="1"/>
  <c r="G12" i="2"/>
  <c r="H12" i="2"/>
  <c r="G4" i="2"/>
  <c r="H4" i="2" s="1"/>
  <c r="G39" i="2"/>
  <c r="H39" i="2" s="1"/>
  <c r="G31" i="2"/>
  <c r="H31" i="2" s="1"/>
  <c r="G11" i="2"/>
  <c r="H11" i="2" s="1"/>
  <c r="G8" i="2"/>
  <c r="H8" i="2" s="1"/>
  <c r="G44" i="2"/>
  <c r="H44" i="2" s="1"/>
  <c r="G35" i="2"/>
  <c r="H35" i="2" s="1"/>
  <c r="G27" i="2"/>
  <c r="H27" i="2" s="1"/>
  <c r="G23" i="2"/>
  <c r="H23" i="2" s="1"/>
  <c r="G19" i="2"/>
  <c r="H19" i="2" s="1"/>
  <c r="G15" i="2"/>
  <c r="H15" i="2" s="1"/>
  <c r="G2" i="2"/>
  <c r="H2" i="2" s="1"/>
  <c r="G7" i="2"/>
  <c r="H7" i="2" s="1"/>
  <c r="G3" i="2"/>
  <c r="H3" i="2" s="1"/>
  <c r="G43" i="2"/>
  <c r="H43" i="2" s="1"/>
  <c r="G38" i="2"/>
  <c r="H38" i="2" s="1"/>
  <c r="G34" i="2"/>
  <c r="H34" i="2" s="1"/>
  <c r="G30" i="2"/>
  <c r="H30" i="2" s="1"/>
  <c r="G26" i="2"/>
  <c r="H26" i="2" s="1"/>
  <c r="G22" i="2"/>
  <c r="H22" i="2" s="1"/>
  <c r="G18" i="2"/>
  <c r="H18" i="2" s="1"/>
  <c r="G14" i="2"/>
  <c r="H14" i="2" s="1"/>
  <c r="G10" i="2"/>
  <c r="H10" i="2" s="1"/>
  <c r="G46" i="2"/>
  <c r="H46" i="2" s="1"/>
  <c r="G33" i="2"/>
  <c r="H33" i="2" s="1"/>
  <c r="G13" i="2"/>
  <c r="H13" i="2"/>
  <c r="G40" i="2"/>
  <c r="H40" i="2" s="1"/>
  <c r="R34" i="2"/>
  <c r="Q34" i="2"/>
  <c r="R33" i="2"/>
  <c r="Q33" i="2"/>
  <c r="R32" i="2"/>
  <c r="Q32" i="2"/>
  <c r="Q31" i="2"/>
  <c r="R31" i="2"/>
  <c r="Q30" i="2"/>
  <c r="R29" i="2"/>
  <c r="R30" i="2" s="1"/>
  <c r="Q29" i="2"/>
  <c r="S29" i="2" s="1"/>
  <c r="G6" i="4" s="1"/>
  <c r="I20" i="2" l="1"/>
  <c r="M13" i="2" s="1"/>
  <c r="M21" i="2" s="1"/>
  <c r="I2" i="2"/>
  <c r="M11" i="2" s="1"/>
  <c r="I38" i="2"/>
  <c r="M15" i="2" s="1"/>
  <c r="N18" i="2" s="1"/>
  <c r="I11" i="2"/>
  <c r="M12" i="2" s="1"/>
  <c r="I29" i="2"/>
  <c r="M14" i="2" s="1"/>
  <c r="M22" i="2" s="1"/>
  <c r="F18" i="4"/>
  <c r="E18" i="4"/>
  <c r="C18" i="4"/>
  <c r="D18" i="4"/>
  <c r="S30" i="2"/>
  <c r="G7" i="4" s="1"/>
  <c r="S31" i="2"/>
  <c r="G8" i="4" s="1"/>
  <c r="S34" i="2"/>
  <c r="G11" i="4" s="1"/>
  <c r="S33" i="2"/>
  <c r="G10" i="4" s="1"/>
  <c r="S32" i="2"/>
  <c r="G9" i="4" s="1"/>
  <c r="M23" i="2" l="1"/>
  <c r="O23" i="2" s="1"/>
  <c r="B11" i="4" s="1"/>
  <c r="B23" i="4" s="1"/>
  <c r="M18" i="2"/>
  <c r="O18" i="2" s="1"/>
  <c r="B6" i="4" s="1"/>
  <c r="B18" i="4" s="1"/>
  <c r="N22" i="2"/>
  <c r="O22" i="2" s="1"/>
  <c r="B10" i="4" s="1"/>
  <c r="B22" i="4" s="1"/>
  <c r="N20" i="2"/>
  <c r="N21" i="2"/>
  <c r="M20" i="2"/>
  <c r="M19" i="2"/>
  <c r="N23" i="2"/>
  <c r="E22" i="4"/>
  <c r="F22" i="4"/>
  <c r="D22" i="4"/>
  <c r="C22" i="4"/>
  <c r="F23" i="4"/>
  <c r="E23" i="4"/>
  <c r="D23" i="4"/>
  <c r="C23" i="4"/>
  <c r="F20" i="4"/>
  <c r="E20" i="4"/>
  <c r="D20" i="4"/>
  <c r="C20" i="4"/>
  <c r="E21" i="4"/>
  <c r="F21" i="4"/>
  <c r="D21" i="4"/>
  <c r="C21" i="4"/>
  <c r="F19" i="4"/>
  <c r="E19" i="4"/>
  <c r="C19" i="4"/>
  <c r="D19" i="4"/>
  <c r="O21" i="2"/>
  <c r="B9" i="4" s="1"/>
  <c r="B21" i="4" s="1"/>
  <c r="N19" i="2"/>
  <c r="O19" i="2" s="1"/>
  <c r="B7" i="4" s="1"/>
  <c r="B19" i="4" s="1"/>
  <c r="O20" i="2" l="1"/>
  <c r="B8" i="4" s="1"/>
  <c r="B20" i="4" s="1"/>
  <c r="B24" i="4" s="1"/>
  <c r="C24" i="4"/>
  <c r="E24" i="4"/>
  <c r="D24" i="4"/>
  <c r="F24" i="4"/>
</calcChain>
</file>

<file path=xl/sharedStrings.xml><?xml version="1.0" encoding="utf-8"?>
<sst xmlns="http://schemas.openxmlformats.org/spreadsheetml/2006/main" count="158" uniqueCount="83">
  <si>
    <t>CH4</t>
  </si>
  <si>
    <t>CH3F</t>
  </si>
  <si>
    <t>CH2F2</t>
  </si>
  <si>
    <t>CHF3</t>
  </si>
  <si>
    <t>CF4</t>
  </si>
  <si>
    <t>equlibrium structure</t>
  </si>
  <si>
    <t>energy (Kcal/mol)</t>
  </si>
  <si>
    <t>zero point energy (Kcal/mol)</t>
  </si>
  <si>
    <t>Vibrational wave numbers</t>
  </si>
  <si>
    <t>Intensity</t>
  </si>
  <si>
    <t>Symmetry</t>
  </si>
  <si>
    <t>1T2</t>
  </si>
  <si>
    <t xml:space="preserve">1 T2 </t>
  </si>
  <si>
    <t>Species</t>
  </si>
  <si>
    <t>Vibrational wave number</t>
  </si>
  <si>
    <t>vibrational frequency</t>
  </si>
  <si>
    <t>x</t>
  </si>
  <si>
    <t>e^x</t>
  </si>
  <si>
    <t>Rotational + Translational energy (Kcal/mol)</t>
  </si>
  <si>
    <t xml:space="preserve">1 E </t>
  </si>
  <si>
    <t>1 E</t>
  </si>
  <si>
    <t xml:space="preserve">1 A1  </t>
  </si>
  <si>
    <t xml:space="preserve"> 2 T2 </t>
  </si>
  <si>
    <t>2 T2</t>
  </si>
  <si>
    <t>C-H Bond Length</t>
  </si>
  <si>
    <t>C-F Bond Length</t>
  </si>
  <si>
    <t>2 E</t>
  </si>
  <si>
    <t xml:space="preserve">2 E </t>
  </si>
  <si>
    <t xml:space="preserve">2 A1 </t>
  </si>
  <si>
    <t xml:space="preserve"> 3 A1 </t>
  </si>
  <si>
    <t xml:space="preserve">3 E </t>
  </si>
  <si>
    <t xml:space="preserve">1 A1 </t>
  </si>
  <si>
    <t xml:space="preserve">1 B2 </t>
  </si>
  <si>
    <t>2 A1</t>
  </si>
  <si>
    <t>1 B1</t>
  </si>
  <si>
    <t xml:space="preserve">1 A2 </t>
  </si>
  <si>
    <t>2 B2</t>
  </si>
  <si>
    <t>3 A1</t>
  </si>
  <si>
    <t xml:space="preserve"> 4 A1 </t>
  </si>
  <si>
    <t>2 B1</t>
  </si>
  <si>
    <t xml:space="preserve">3 E  </t>
  </si>
  <si>
    <t xml:space="preserve">1 T2  </t>
  </si>
  <si>
    <t>Total Vibrational energy</t>
  </si>
  <si>
    <t>P constant</t>
  </si>
  <si>
    <t>K constant</t>
  </si>
  <si>
    <t>T</t>
  </si>
  <si>
    <t>R</t>
  </si>
  <si>
    <t>CH4+CF4 --&gt; 2CH2F2</t>
  </si>
  <si>
    <t>CH4+CF4--&gt;CHF3+CH3F</t>
  </si>
  <si>
    <t>CH4+CH2F2--&gt;2CH3F</t>
  </si>
  <si>
    <t>CH3F+CHF3--&gt;2CH2F2</t>
  </si>
  <si>
    <t>CH2F2+CF4--&gt;2CHF3</t>
  </si>
  <si>
    <t>CH2F2+CH3F--&gt;CH4+CHF3</t>
  </si>
  <si>
    <t>Reactant</t>
  </si>
  <si>
    <t>Product</t>
  </si>
  <si>
    <t>Enthalpy</t>
  </si>
  <si>
    <t>Enthalpy of reaction</t>
  </si>
  <si>
    <t>Products</t>
  </si>
  <si>
    <t>Reactants</t>
  </si>
  <si>
    <t>My Method</t>
  </si>
  <si>
    <t>PBE/HCTH98</t>
  </si>
  <si>
    <t>Reaction Enthalpies</t>
  </si>
  <si>
    <t>pb396/pbe96</t>
  </si>
  <si>
    <t>Constants</t>
  </si>
  <si>
    <t>Reactions</t>
  </si>
  <si>
    <t>Expt Kj/Mol</t>
  </si>
  <si>
    <t>Results From data Kcal/mol</t>
  </si>
  <si>
    <t xml:space="preserve">Enthalpy of reaction </t>
  </si>
  <si>
    <t>Experimental data kJ/mol</t>
  </si>
  <si>
    <t xml:space="preserve">Enthalpy of formation </t>
  </si>
  <si>
    <t>CH4+CF4  --&gt;  2CH2F2</t>
  </si>
  <si>
    <t>CH4+CF4  --&gt;  CHF3+CH3F</t>
  </si>
  <si>
    <t>CH4+CH2F2  --&gt;  2CH3F</t>
  </si>
  <si>
    <t>CH3F+CHF3  --&gt;  2CH2F2</t>
  </si>
  <si>
    <t>CH2F2+CF4  --&gt;  2CHF3</t>
  </si>
  <si>
    <t>CH2F2+CH3F  --&gt;  CH4+CHF3</t>
  </si>
  <si>
    <t>Perdew Wang/LCE93</t>
  </si>
  <si>
    <t>Gil99/LYP</t>
  </si>
  <si>
    <t>average difference</t>
  </si>
  <si>
    <t>HCTH98/PBE</t>
  </si>
  <si>
    <t>Zero Point</t>
  </si>
  <si>
    <t>Electronic Energy</t>
  </si>
  <si>
    <t>vibrational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</si>
</sst>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0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/>
    <xf numFmtId="0" fontId="0" fillId="0" borderId="1" xfId="0" applyBorder="1"/>
    <xf numFmtId="0" fontId="0" fillId="0" borderId="0" xfId="0"/>
    <xf numFmtId="11" fontId="0" fillId="0" borderId="0" xfId="0" applyNumberFormat="1"/>
    <xf numFmtId="11" fontId="2" fillId="0" borderId="0" xfId="0" applyNumberFormat="1" applyFo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0" xfId="0" applyNumberFormat="1"/>
    <xf numFmtId="2" fontId="5" fillId="2" borderId="4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J6" sqref="J6:J11"/>
    </sheetView>
  </sheetViews>
  <sheetFormatPr defaultRowHeight="15" x14ac:dyDescent="0.25"/>
  <cols>
    <col min="1" max="1" width="26" customWidth="1"/>
    <col min="2" max="2" width="17.42578125" customWidth="1"/>
    <col min="3" max="3" width="13.140625" customWidth="1"/>
    <col min="4" max="4" width="18.7109375" customWidth="1"/>
    <col min="5" max="5" width="9.5703125" bestFit="1" customWidth="1"/>
    <col min="7" max="7" width="10.7109375" customWidth="1"/>
  </cols>
  <sheetData>
    <row r="1" spans="1:10" x14ac:dyDescent="0.25">
      <c r="A1" s="5"/>
      <c r="B1" s="5"/>
      <c r="C1" s="5"/>
      <c r="D1" s="5"/>
      <c r="E1" s="5"/>
      <c r="F1" s="5"/>
      <c r="G1" s="5"/>
    </row>
    <row r="2" spans="1:10" x14ac:dyDescent="0.25">
      <c r="A2" s="5"/>
      <c r="B2" s="5"/>
      <c r="C2" s="5"/>
      <c r="D2" s="5"/>
      <c r="E2" s="5"/>
      <c r="F2" s="5"/>
      <c r="G2" s="5"/>
    </row>
    <row r="3" spans="1:10" x14ac:dyDescent="0.25">
      <c r="A3" s="5"/>
      <c r="B3" s="5" t="s">
        <v>59</v>
      </c>
      <c r="C3" s="5"/>
      <c r="D3" s="5"/>
      <c r="E3" s="5"/>
      <c r="F3" s="5"/>
      <c r="G3" s="5"/>
    </row>
    <row r="4" spans="1:10" x14ac:dyDescent="0.25">
      <c r="A4" s="5"/>
      <c r="B4" s="43" t="s">
        <v>61</v>
      </c>
      <c r="C4" s="43"/>
      <c r="D4" s="43"/>
      <c r="E4" s="43"/>
      <c r="F4" s="43"/>
      <c r="G4" s="43"/>
    </row>
    <row r="5" spans="1:10" ht="30" customHeight="1" x14ac:dyDescent="0.25">
      <c r="A5" s="5"/>
      <c r="B5" s="28" t="s">
        <v>60</v>
      </c>
      <c r="C5" s="28" t="s">
        <v>62</v>
      </c>
      <c r="D5" s="17" t="s">
        <v>76</v>
      </c>
      <c r="E5" s="34" t="s">
        <v>77</v>
      </c>
      <c r="F5" s="28" t="s">
        <v>79</v>
      </c>
      <c r="G5" s="28" t="s">
        <v>65</v>
      </c>
    </row>
    <row r="6" spans="1:10" x14ac:dyDescent="0.25">
      <c r="A6" s="28" t="s">
        <v>70</v>
      </c>
      <c r="B6" s="31">
        <f>('Calc for enthalpy'!O18)*4.184</f>
        <v>131.99325268669614</v>
      </c>
      <c r="C6" s="32">
        <f>34.43374479*4.184</f>
        <v>144.07078820135999</v>
      </c>
      <c r="D6" s="28">
        <f>34.63047681*4.184</f>
        <v>144.89391497303998</v>
      </c>
      <c r="E6" s="30">
        <f>30.88840821*4.184</f>
        <v>129.23709995064002</v>
      </c>
      <c r="F6" s="28">
        <f>38.7209394*4.184</f>
        <v>162.00841044960001</v>
      </c>
      <c r="G6" s="28">
        <f>('Calc for enthalpy'!S29)</f>
        <v>103.54999999999995</v>
      </c>
      <c r="J6">
        <f>F6/4.184</f>
        <v>38.720939399999999</v>
      </c>
    </row>
    <row r="7" spans="1:10" x14ac:dyDescent="0.25">
      <c r="A7" s="28" t="s">
        <v>71</v>
      </c>
      <c r="B7" s="30">
        <f>('Calc for enthalpy'!O19)*4.184</f>
        <v>98.661629677623054</v>
      </c>
      <c r="C7" s="33">
        <f>25.03823686*4.184</f>
        <v>104.75998302224001</v>
      </c>
      <c r="D7" s="28">
        <f>24.98562073*4.184</f>
        <v>104.53983713432001</v>
      </c>
      <c r="E7" s="30">
        <f>22.33062566*4.184</f>
        <v>93.431337761440005</v>
      </c>
      <c r="F7" s="28">
        <f>28.2670888*4.184</f>
        <v>118.2694995392</v>
      </c>
      <c r="G7" s="28">
        <f>('Calc for enthalpy'!S30)</f>
        <v>80.57000000000005</v>
      </c>
      <c r="J7" s="18">
        <f t="shared" ref="J7:J11" si="0">F7/4.184</f>
        <v>28.2670888</v>
      </c>
    </row>
    <row r="8" spans="1:10" x14ac:dyDescent="0.25">
      <c r="A8" s="28" t="s">
        <v>72</v>
      </c>
      <c r="B8" s="30">
        <f>('Calc for enthalpy'!O20)*4.184</f>
        <v>73.952273341913937</v>
      </c>
      <c r="C8" s="33">
        <f>16.71504712*4.184</f>
        <v>69.935757150080008</v>
      </c>
      <c r="D8" s="28">
        <f>16.34236565*4.184</f>
        <v>68.376457879600011</v>
      </c>
      <c r="E8" s="30">
        <f>15.2109744*4.184</f>
        <v>63.642716889600003</v>
      </c>
      <c r="F8" s="28">
        <f>18.4506532*4.184</f>
        <v>77.197532988800006</v>
      </c>
      <c r="G8" s="28">
        <f>('Calc for enthalpy'!S31)</f>
        <v>56.92999999999995</v>
      </c>
      <c r="J8" s="18">
        <f t="shared" si="0"/>
        <v>18.450653200000001</v>
      </c>
    </row>
    <row r="9" spans="1:10" x14ac:dyDescent="0.25">
      <c r="A9" s="28" t="s">
        <v>73</v>
      </c>
      <c r="B9" s="30">
        <f>('Calc for enthalpy'!O21)*4.184</f>
        <v>33.331623009073084</v>
      </c>
      <c r="C9" s="33">
        <f>9.395507927*4.184</f>
        <v>39.310805166568002</v>
      </c>
      <c r="D9" s="28">
        <f>9.644856078*4.184</f>
        <v>40.354077830352004</v>
      </c>
      <c r="E9" s="30">
        <f>8.557782547*4.184</f>
        <v>35.805762176648003</v>
      </c>
      <c r="F9" s="28">
        <f>10.4538506*4.184</f>
        <v>43.738910910400008</v>
      </c>
      <c r="G9" s="28">
        <f>('Calc for enthalpy'!S32)</f>
        <v>22.979999999999905</v>
      </c>
      <c r="J9" s="18">
        <f t="shared" si="0"/>
        <v>10.453850600000001</v>
      </c>
    </row>
    <row r="10" spans="1:10" x14ac:dyDescent="0.25">
      <c r="A10" s="28" t="s">
        <v>74</v>
      </c>
      <c r="B10" s="30">
        <f>('Calc for enthalpy'!O22)*4.184</f>
        <v>-8.6222666734857487</v>
      </c>
      <c r="C10" s="33">
        <f>-1.072318185*4.184</f>
        <v>-4.4865792860400004</v>
      </c>
      <c r="D10" s="28">
        <f>-1.001600997*4.184</f>
        <v>-4.1906985714480003</v>
      </c>
      <c r="E10" s="30">
        <f>-1.438131289*4.184</f>
        <v>-6.0171413131760003</v>
      </c>
      <c r="F10" s="28">
        <f>-0.63741504*4.184</f>
        <v>-2.6669445273600001</v>
      </c>
      <c r="G10" s="28">
        <f>('Calc for enthalpy'!S33)</f>
        <v>0.66000000000008185</v>
      </c>
      <c r="J10" s="18">
        <f t="shared" si="0"/>
        <v>-0.63741504000000004</v>
      </c>
    </row>
    <row r="11" spans="1:10" x14ac:dyDescent="0.25">
      <c r="A11" s="28" t="s">
        <v>75</v>
      </c>
      <c r="B11" s="30">
        <f>('Calc for enthalpy'!O23)*4.184</f>
        <v>-107.28389635110879</v>
      </c>
      <c r="C11" s="33">
        <f>-26.11055505*4.184</f>
        <v>-109.2465623292</v>
      </c>
      <c r="D11" s="30">
        <f>-25.98722173*4.184</f>
        <v>-108.73053571832001</v>
      </c>
      <c r="E11" s="30">
        <f>-23.76875695*4.184</f>
        <v>-99.448479078800005</v>
      </c>
      <c r="F11" s="28">
        <f>-28.9045038*4.184</f>
        <v>-120.9364438992</v>
      </c>
      <c r="G11" s="28">
        <f>('Calc for enthalpy'!S34)</f>
        <v>-79.909999999999968</v>
      </c>
      <c r="J11" s="18">
        <f t="shared" si="0"/>
        <v>-28.904503800000001</v>
      </c>
    </row>
    <row r="12" spans="1:10" x14ac:dyDescent="0.25">
      <c r="G12" s="18"/>
    </row>
    <row r="15" spans="1:10" x14ac:dyDescent="0.25">
      <c r="A15" s="5"/>
      <c r="B15" s="5" t="s">
        <v>59</v>
      </c>
      <c r="C15" s="5"/>
      <c r="D15" s="5"/>
      <c r="E15" s="5"/>
      <c r="F15" s="5"/>
      <c r="G15" s="5"/>
    </row>
    <row r="16" spans="1:10" x14ac:dyDescent="0.25">
      <c r="A16" s="5"/>
      <c r="B16" s="43" t="s">
        <v>61</v>
      </c>
      <c r="C16" s="43"/>
      <c r="D16" s="43"/>
      <c r="E16" s="43"/>
      <c r="F16" s="43"/>
      <c r="G16" s="43"/>
    </row>
    <row r="17" spans="1:6" ht="30" customHeight="1" x14ac:dyDescent="0.25">
      <c r="A17" s="5"/>
      <c r="B17" s="28" t="s">
        <v>60</v>
      </c>
      <c r="C17" s="28" t="s">
        <v>62</v>
      </c>
      <c r="D17" s="18" t="s">
        <v>76</v>
      </c>
      <c r="E17" s="34" t="s">
        <v>77</v>
      </c>
      <c r="F17" s="28" t="s">
        <v>79</v>
      </c>
    </row>
    <row r="18" spans="1:6" x14ac:dyDescent="0.25">
      <c r="A18" s="28" t="s">
        <v>70</v>
      </c>
      <c r="B18" s="31">
        <f>B6-G6</f>
        <v>28.443252686696184</v>
      </c>
      <c r="C18" s="32">
        <f>C6-G6</f>
        <v>40.520788201360034</v>
      </c>
      <c r="D18" s="42">
        <f>D6-G6</f>
        <v>41.343914973040029</v>
      </c>
      <c r="E18" s="35">
        <f>E6-G6</f>
        <v>25.687099950640061</v>
      </c>
      <c r="F18" s="38">
        <f>F6-G6</f>
        <v>58.458410449600052</v>
      </c>
    </row>
    <row r="19" spans="1:6" x14ac:dyDescent="0.25">
      <c r="A19" s="28" t="s">
        <v>71</v>
      </c>
      <c r="B19" s="37">
        <f t="shared" ref="B19:B23" si="1">B7-G7</f>
        <v>18.091629677623004</v>
      </c>
      <c r="C19" s="41">
        <f t="shared" ref="C19:C23" si="2">C7-G7</f>
        <v>24.189983022239957</v>
      </c>
      <c r="D19" s="28">
        <f t="shared" ref="D19:D23" si="3">D7-G7</f>
        <v>23.96983713431996</v>
      </c>
      <c r="E19" s="35">
        <f t="shared" ref="E19:E23" si="4">E7-G7</f>
        <v>12.861337761439955</v>
      </c>
      <c r="F19" s="38">
        <f t="shared" ref="F19:F23" si="5">F7-G7</f>
        <v>37.699499539199948</v>
      </c>
    </row>
    <row r="20" spans="1:6" x14ac:dyDescent="0.25">
      <c r="A20" s="28" t="s">
        <v>72</v>
      </c>
      <c r="B20" s="37">
        <f t="shared" si="1"/>
        <v>17.022273341913987</v>
      </c>
      <c r="C20" s="32">
        <f t="shared" si="2"/>
        <v>13.005757150080058</v>
      </c>
      <c r="D20" s="28">
        <f t="shared" si="3"/>
        <v>11.446457879600061</v>
      </c>
      <c r="E20" s="35">
        <f t="shared" si="4"/>
        <v>6.7127168896000526</v>
      </c>
      <c r="F20" s="38">
        <f t="shared" si="5"/>
        <v>20.267532988800056</v>
      </c>
    </row>
    <row r="21" spans="1:6" x14ac:dyDescent="0.25">
      <c r="A21" s="28" t="s">
        <v>73</v>
      </c>
      <c r="B21" s="36">
        <f t="shared" si="1"/>
        <v>10.35162300907318</v>
      </c>
      <c r="C21" s="32">
        <f t="shared" si="2"/>
        <v>16.330805166568098</v>
      </c>
      <c r="D21" s="42">
        <f t="shared" si="3"/>
        <v>17.3740778303521</v>
      </c>
      <c r="E21" s="28">
        <f t="shared" si="4"/>
        <v>12.825762176648098</v>
      </c>
      <c r="F21" s="38">
        <f t="shared" si="5"/>
        <v>20.758910910400104</v>
      </c>
    </row>
    <row r="22" spans="1:6" x14ac:dyDescent="0.25">
      <c r="A22" s="28" t="s">
        <v>74</v>
      </c>
      <c r="B22" s="37">
        <f t="shared" si="1"/>
        <v>-9.2822666734858306</v>
      </c>
      <c r="C22" s="32">
        <f t="shared" si="2"/>
        <v>-5.1465792860400823</v>
      </c>
      <c r="D22" s="35">
        <f t="shared" si="3"/>
        <v>-4.8506985714480821</v>
      </c>
      <c r="E22" s="28">
        <f t="shared" si="4"/>
        <v>-6.6771413131760822</v>
      </c>
      <c r="F22" s="38">
        <f t="shared" si="5"/>
        <v>-3.3269445273600819</v>
      </c>
    </row>
    <row r="23" spans="1:6" x14ac:dyDescent="0.25">
      <c r="A23" s="28" t="s">
        <v>75</v>
      </c>
      <c r="B23" s="31">
        <f t="shared" si="1"/>
        <v>-27.373896351108826</v>
      </c>
      <c r="C23" s="41">
        <f t="shared" si="2"/>
        <v>-29.336562329200035</v>
      </c>
      <c r="D23" s="28">
        <f t="shared" si="3"/>
        <v>-28.820535718320045</v>
      </c>
      <c r="E23" s="35">
        <f t="shared" si="4"/>
        <v>-19.538479078800037</v>
      </c>
      <c r="F23" s="38">
        <f t="shared" si="5"/>
        <v>-41.026443899200032</v>
      </c>
    </row>
    <row r="24" spans="1:6" x14ac:dyDescent="0.25">
      <c r="A24" s="39" t="s">
        <v>78</v>
      </c>
      <c r="B24" s="40">
        <f>(SUM(B18:B21)+(SUM(B22:B23)*-1))/6</f>
        <v>18.427490289983499</v>
      </c>
      <c r="C24" s="40">
        <f t="shared" ref="C24:F24" si="6">(SUM(C18:C21)+(SUM(C22:C23)*-1))/6</f>
        <v>21.421745859248045</v>
      </c>
      <c r="D24" s="40">
        <f t="shared" si="6"/>
        <v>21.30092035118005</v>
      </c>
      <c r="E24" s="40">
        <f t="shared" si="6"/>
        <v>14.050422861717381</v>
      </c>
      <c r="F24" s="40">
        <f t="shared" si="6"/>
        <v>30.256290385760042</v>
      </c>
    </row>
  </sheetData>
  <mergeCells count="2">
    <mergeCell ref="B4:G4"/>
    <mergeCell ref="B16:G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7"/>
  <sheetViews>
    <sheetView topLeftCell="A29" workbookViewId="0">
      <selection activeCell="C53" sqref="C53"/>
    </sheetView>
  </sheetViews>
  <sheetFormatPr defaultRowHeight="15" x14ac:dyDescent="0.25"/>
  <cols>
    <col min="1" max="1" width="25.42578125" customWidth="1"/>
    <col min="2" max="2" width="12.28515625" customWidth="1"/>
  </cols>
  <sheetData>
    <row r="3" spans="1:8" x14ac:dyDescent="0.25">
      <c r="A3" s="1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8" x14ac:dyDescent="0.25">
      <c r="A4" s="1" t="s">
        <v>5</v>
      </c>
      <c r="B4" s="1"/>
      <c r="C4" s="1"/>
      <c r="D4" s="1"/>
      <c r="E4" s="1"/>
      <c r="F4" s="1"/>
    </row>
    <row r="5" spans="1:8" x14ac:dyDescent="0.25">
      <c r="A5" s="1" t="s">
        <v>6</v>
      </c>
      <c r="B5" s="9">
        <v>-25441.980368699999</v>
      </c>
      <c r="C5" s="10">
        <v>-87723.308411000005</v>
      </c>
      <c r="D5" s="11">
        <v>-150022.45453620001</v>
      </c>
      <c r="E5" s="12">
        <v>-212329.0493789</v>
      </c>
      <c r="F5" s="13">
        <v>-274633.39472059999</v>
      </c>
    </row>
    <row r="6" spans="1:8" ht="14.25" customHeight="1" x14ac:dyDescent="0.25">
      <c r="A6" s="1" t="s">
        <v>7</v>
      </c>
      <c r="B6" s="14">
        <v>27.270859999999999</v>
      </c>
      <c r="C6" s="4">
        <v>23.65672</v>
      </c>
      <c r="D6" s="6">
        <v>19.75131</v>
      </c>
      <c r="E6" s="7">
        <v>15.03636</v>
      </c>
      <c r="F6" s="8">
        <v>9.8359699999999997</v>
      </c>
    </row>
    <row r="7" spans="1:8" s="14" customFormat="1" ht="14.25" customHeight="1" x14ac:dyDescent="0.25">
      <c r="A7" s="16"/>
    </row>
    <row r="8" spans="1:8" x14ac:dyDescent="0.25">
      <c r="A8" s="16" t="s">
        <v>24</v>
      </c>
      <c r="B8" s="16"/>
    </row>
    <row r="9" spans="1:8" x14ac:dyDescent="0.25">
      <c r="A9" s="16" t="s">
        <v>25</v>
      </c>
      <c r="B9" s="16"/>
      <c r="C9" s="5"/>
      <c r="D9" s="5"/>
      <c r="E9" s="5"/>
      <c r="F9" s="5"/>
      <c r="G9" s="5"/>
      <c r="H9" s="5"/>
    </row>
    <row r="10" spans="1:8" s="1" customFormat="1" x14ac:dyDescent="0.25">
      <c r="A10" s="14"/>
      <c r="B10" s="16"/>
      <c r="C10" s="5"/>
      <c r="D10" s="5"/>
      <c r="E10" s="5"/>
      <c r="F10" s="5"/>
      <c r="G10" s="5"/>
      <c r="H10" s="5"/>
    </row>
    <row r="11" spans="1:8" s="14" customFormat="1" x14ac:dyDescent="0.25">
      <c r="A11" t="s">
        <v>8</v>
      </c>
      <c r="B11"/>
      <c r="C11" s="5"/>
      <c r="D11" s="5"/>
      <c r="E11" s="5"/>
      <c r="F11" s="5"/>
      <c r="G11" s="5"/>
      <c r="H11" s="5"/>
    </row>
    <row r="12" spans="1:8" s="14" customFormat="1" x14ac:dyDescent="0.25">
      <c r="A12" s="16"/>
      <c r="B12" s="16"/>
      <c r="C12" s="5"/>
      <c r="D12" s="5"/>
      <c r="E12" s="5"/>
      <c r="F12" s="5"/>
      <c r="G12" s="5"/>
      <c r="H12" s="5"/>
    </row>
    <row r="13" spans="1:8" x14ac:dyDescent="0.25">
      <c r="A13" s="15">
        <v>1</v>
      </c>
      <c r="B13" s="5">
        <v>1328</v>
      </c>
      <c r="C13" s="5">
        <v>984.03</v>
      </c>
      <c r="D13" s="5">
        <v>481.5</v>
      </c>
      <c r="E13" s="5">
        <v>459.08</v>
      </c>
      <c r="F13" s="5">
        <v>395.37</v>
      </c>
      <c r="G13" s="5"/>
      <c r="H13" s="5"/>
    </row>
    <row r="14" spans="1:8" s="14" customFormat="1" x14ac:dyDescent="0.25">
      <c r="A14" s="3" t="s">
        <v>9</v>
      </c>
      <c r="B14" s="5">
        <v>8.0068699999999993</v>
      </c>
      <c r="C14" s="5">
        <v>83.523510000000002</v>
      </c>
      <c r="D14" s="5">
        <v>2.71035</v>
      </c>
      <c r="E14" s="5">
        <v>1.2944100000000001</v>
      </c>
      <c r="F14" s="5">
        <v>4.8000000000000001E-4</v>
      </c>
      <c r="G14" s="5"/>
      <c r="H14" s="5"/>
    </row>
    <row r="15" spans="1:8" x14ac:dyDescent="0.25">
      <c r="A15" s="3" t="s">
        <v>10</v>
      </c>
      <c r="B15" s="5" t="s">
        <v>11</v>
      </c>
      <c r="C15" s="5" t="s">
        <v>21</v>
      </c>
      <c r="D15" s="5" t="s">
        <v>31</v>
      </c>
      <c r="E15" s="5" t="s">
        <v>19</v>
      </c>
      <c r="F15" s="5" t="s">
        <v>20</v>
      </c>
      <c r="G15" s="5"/>
      <c r="H15" s="5"/>
    </row>
    <row r="16" spans="1:8" s="14" customFormat="1" x14ac:dyDescent="0.25">
      <c r="A16" s="3"/>
      <c r="B16" s="5"/>
      <c r="C16" s="5"/>
      <c r="D16" s="5"/>
      <c r="E16" s="5"/>
      <c r="F16" s="5"/>
      <c r="G16" s="5"/>
      <c r="H16" s="5"/>
    </row>
    <row r="17" spans="1:8" x14ac:dyDescent="0.25">
      <c r="A17" s="15">
        <v>2</v>
      </c>
      <c r="B17" s="5">
        <v>1328.57</v>
      </c>
      <c r="C17" s="5">
        <v>1154.93</v>
      </c>
      <c r="D17" s="5">
        <v>1006.42</v>
      </c>
      <c r="E17" s="5">
        <v>461.79</v>
      </c>
      <c r="F17" s="5">
        <v>395.63</v>
      </c>
      <c r="G17" s="5"/>
      <c r="H17" s="5"/>
    </row>
    <row r="18" spans="1:8" s="2" customFormat="1" x14ac:dyDescent="0.25">
      <c r="A18" s="3" t="s">
        <v>9</v>
      </c>
      <c r="B18" s="5">
        <v>8.0353200000000005</v>
      </c>
      <c r="C18" s="5">
        <v>0.72009999999999996</v>
      </c>
      <c r="D18" s="5">
        <v>199.12031999999999</v>
      </c>
      <c r="E18" s="5">
        <v>1.2432399999999999</v>
      </c>
      <c r="F18" s="5">
        <v>5.5000000000000003E-4</v>
      </c>
      <c r="G18" s="5"/>
      <c r="H18" s="5"/>
    </row>
    <row r="19" spans="1:8" x14ac:dyDescent="0.25">
      <c r="A19" s="3" t="s">
        <v>10</v>
      </c>
      <c r="B19" s="5" t="s">
        <v>12</v>
      </c>
      <c r="C19" s="5" t="s">
        <v>19</v>
      </c>
      <c r="D19" s="5" t="s">
        <v>32</v>
      </c>
      <c r="E19" s="5" t="s">
        <v>19</v>
      </c>
      <c r="F19" s="5" t="s">
        <v>19</v>
      </c>
      <c r="G19" s="5"/>
      <c r="H19" s="5"/>
    </row>
    <row r="20" spans="1:8" s="14" customFormat="1" x14ac:dyDescent="0.25">
      <c r="A20" s="3"/>
      <c r="B20" s="5"/>
      <c r="C20" s="5"/>
      <c r="D20" s="5"/>
      <c r="E20" s="5"/>
      <c r="F20" s="5"/>
      <c r="G20" s="5"/>
      <c r="H20" s="5"/>
    </row>
    <row r="21" spans="1:8" x14ac:dyDescent="0.25">
      <c r="A21" s="15">
        <v>3</v>
      </c>
      <c r="B21" s="5">
        <v>1328.63</v>
      </c>
      <c r="C21" s="5">
        <v>1155.1500000000001</v>
      </c>
      <c r="D21" s="5">
        <v>1029.44</v>
      </c>
      <c r="E21" s="5">
        <v>642.58000000000004</v>
      </c>
      <c r="F21" s="5">
        <v>569.73</v>
      </c>
      <c r="G21" s="5"/>
      <c r="H21" s="5"/>
    </row>
    <row r="22" spans="1:8" x14ac:dyDescent="0.25">
      <c r="A22" s="3" t="s">
        <v>9</v>
      </c>
      <c r="B22" s="5">
        <v>8.0114800000000006</v>
      </c>
      <c r="C22" s="5">
        <v>0.69764000000000004</v>
      </c>
      <c r="D22" s="5">
        <v>85.059920000000005</v>
      </c>
      <c r="E22" s="5">
        <v>8.3544900000000002</v>
      </c>
      <c r="F22" s="5">
        <v>1.7778700000000001</v>
      </c>
      <c r="G22" s="5"/>
      <c r="H22" s="5"/>
    </row>
    <row r="23" spans="1:8" x14ac:dyDescent="0.25">
      <c r="A23" s="3" t="s">
        <v>10</v>
      </c>
      <c r="B23" s="5" t="s">
        <v>12</v>
      </c>
      <c r="C23" s="5" t="s">
        <v>19</v>
      </c>
      <c r="D23" s="5" t="s">
        <v>33</v>
      </c>
      <c r="E23" s="5" t="s">
        <v>31</v>
      </c>
      <c r="F23" s="5" t="s">
        <v>41</v>
      </c>
      <c r="G23" s="5"/>
      <c r="H23" s="5"/>
    </row>
    <row r="24" spans="1:8" s="14" customFormat="1" x14ac:dyDescent="0.25">
      <c r="A24" s="3"/>
      <c r="B24" s="5"/>
      <c r="C24" s="5"/>
      <c r="D24" s="5"/>
      <c r="E24" s="5"/>
      <c r="F24" s="5"/>
      <c r="G24" s="5"/>
      <c r="H24" s="5"/>
    </row>
    <row r="25" spans="1:8" x14ac:dyDescent="0.25">
      <c r="A25" s="15">
        <v>4</v>
      </c>
      <c r="B25" s="5">
        <v>1541.28</v>
      </c>
      <c r="C25" s="5">
        <v>1474.22</v>
      </c>
      <c r="D25" s="5">
        <v>1142.46</v>
      </c>
      <c r="E25" s="5">
        <v>1058.5</v>
      </c>
      <c r="F25" s="5">
        <v>571.41</v>
      </c>
      <c r="G25" s="5"/>
      <c r="H25" s="5"/>
    </row>
    <row r="26" spans="1:8" x14ac:dyDescent="0.25">
      <c r="A26" s="3" t="s">
        <v>9</v>
      </c>
      <c r="B26" s="5">
        <v>3.0000000000000001E-5</v>
      </c>
      <c r="C26" s="5">
        <v>0.41914000000000001</v>
      </c>
      <c r="D26" s="5">
        <v>16.97007</v>
      </c>
      <c r="E26" s="5">
        <v>91.341790000000003</v>
      </c>
      <c r="F26" s="5">
        <v>1.7080500000000001</v>
      </c>
      <c r="G26" s="5"/>
      <c r="H26" s="5"/>
    </row>
    <row r="27" spans="1:8" x14ac:dyDescent="0.25">
      <c r="A27" s="3" t="s">
        <v>10</v>
      </c>
      <c r="B27" s="5" t="s">
        <v>19</v>
      </c>
      <c r="C27" s="5" t="s">
        <v>26</v>
      </c>
      <c r="D27" s="5" t="s">
        <v>34</v>
      </c>
      <c r="E27" s="5" t="s">
        <v>28</v>
      </c>
      <c r="F27" s="5" t="s">
        <v>12</v>
      </c>
      <c r="G27" s="5"/>
      <c r="H27" s="5"/>
    </row>
    <row r="28" spans="1:8" x14ac:dyDescent="0.25">
      <c r="A28" s="3"/>
      <c r="B28" s="5"/>
      <c r="C28" s="5"/>
      <c r="D28" s="5"/>
      <c r="E28" s="5"/>
      <c r="F28" s="5"/>
      <c r="G28" s="5"/>
      <c r="H28" s="5"/>
    </row>
    <row r="29" spans="1:8" x14ac:dyDescent="0.25">
      <c r="A29" s="15">
        <v>5</v>
      </c>
      <c r="B29" s="5">
        <v>1541.34</v>
      </c>
      <c r="C29" s="5">
        <v>1474.41</v>
      </c>
      <c r="D29" s="5">
        <v>1213</v>
      </c>
      <c r="E29" s="5">
        <v>1063.6400000000001</v>
      </c>
      <c r="F29" s="5">
        <v>572.82000000000005</v>
      </c>
      <c r="G29" s="5"/>
      <c r="H29" s="5"/>
    </row>
    <row r="30" spans="1:8" x14ac:dyDescent="0.25">
      <c r="A30" s="3" t="s">
        <v>9</v>
      </c>
      <c r="B30" s="5">
        <v>1.0000000000000001E-5</v>
      </c>
      <c r="C30" s="5">
        <v>0.42360999999999999</v>
      </c>
      <c r="D30" s="5">
        <v>5.9199999999999999E-3</v>
      </c>
      <c r="E30" s="5">
        <v>238.25624999999999</v>
      </c>
      <c r="F30" s="5">
        <v>1.6787099999999999</v>
      </c>
      <c r="G30" s="5"/>
      <c r="H30" s="5"/>
    </row>
    <row r="31" spans="1:8" x14ac:dyDescent="0.25">
      <c r="A31" s="3" t="s">
        <v>10</v>
      </c>
      <c r="B31" s="5" t="s">
        <v>20</v>
      </c>
      <c r="C31" s="5" t="s">
        <v>27</v>
      </c>
      <c r="D31" s="5" t="s">
        <v>35</v>
      </c>
      <c r="E31" s="5" t="s">
        <v>27</v>
      </c>
      <c r="F31" s="5" t="s">
        <v>12</v>
      </c>
      <c r="G31" s="5"/>
      <c r="H31" s="5"/>
    </row>
    <row r="32" spans="1:8" x14ac:dyDescent="0.25">
      <c r="A32" s="3"/>
      <c r="B32" s="5"/>
      <c r="C32" s="5"/>
      <c r="D32" s="5"/>
      <c r="E32" s="5"/>
      <c r="F32" s="5"/>
      <c r="G32" s="5"/>
      <c r="H32" s="5"/>
    </row>
    <row r="33" spans="1:8" x14ac:dyDescent="0.25">
      <c r="A33" s="15">
        <v>6</v>
      </c>
      <c r="B33" s="5">
        <v>2937.19</v>
      </c>
      <c r="C33" s="5">
        <v>1487.86</v>
      </c>
      <c r="D33" s="5">
        <v>1445.14</v>
      </c>
      <c r="E33" s="5">
        <v>1064.6500000000001</v>
      </c>
      <c r="F33" s="5">
        <v>822.21</v>
      </c>
      <c r="G33" s="5"/>
      <c r="H33" s="5"/>
    </row>
    <row r="34" spans="1:8" x14ac:dyDescent="0.25">
      <c r="A34" s="3" t="s">
        <v>9</v>
      </c>
      <c r="B34" s="5">
        <v>6.0800000000000003E-3</v>
      </c>
      <c r="C34" s="5">
        <v>12.35261</v>
      </c>
      <c r="D34" s="5">
        <v>40.628279999999997</v>
      </c>
      <c r="E34" s="5">
        <v>236.09681</v>
      </c>
      <c r="F34" s="5">
        <v>2.5600000000000002E-3</v>
      </c>
      <c r="G34" s="5"/>
      <c r="H34" s="5"/>
    </row>
    <row r="35" spans="1:8" x14ac:dyDescent="0.25">
      <c r="A35" s="3" t="s">
        <v>10</v>
      </c>
      <c r="B35" s="5" t="s">
        <v>21</v>
      </c>
      <c r="C35" s="5" t="s">
        <v>28</v>
      </c>
      <c r="D35" s="5" t="s">
        <v>36</v>
      </c>
      <c r="E35" s="5" t="s">
        <v>27</v>
      </c>
      <c r="F35" s="5" t="s">
        <v>31</v>
      </c>
      <c r="G35" s="5"/>
      <c r="H35" s="5"/>
    </row>
    <row r="36" spans="1:8" x14ac:dyDescent="0.25">
      <c r="A36" s="3"/>
      <c r="B36" s="5"/>
      <c r="C36" s="5"/>
      <c r="D36" s="5"/>
      <c r="E36" s="5"/>
      <c r="F36" s="5"/>
      <c r="G36" s="5"/>
      <c r="H36" s="5"/>
    </row>
    <row r="37" spans="1:8" x14ac:dyDescent="0.25">
      <c r="A37" s="15">
        <v>7</v>
      </c>
      <c r="B37" s="5">
        <v>3026.58</v>
      </c>
      <c r="C37" s="5">
        <v>2912.44</v>
      </c>
      <c r="D37" s="5">
        <v>1511.27</v>
      </c>
      <c r="E37" s="5">
        <v>1360.56</v>
      </c>
      <c r="F37" s="5">
        <v>1178.6400000000001</v>
      </c>
      <c r="G37" s="5"/>
      <c r="H37" s="5"/>
    </row>
    <row r="38" spans="1:8" x14ac:dyDescent="0.25">
      <c r="A38" s="3" t="s">
        <v>9</v>
      </c>
      <c r="B38" s="5">
        <v>38.590530000000001</v>
      </c>
      <c r="C38" s="5">
        <v>37.109940000000002</v>
      </c>
      <c r="D38" s="5">
        <v>4.4153799999999999</v>
      </c>
      <c r="E38" s="5">
        <v>58.874519999999997</v>
      </c>
      <c r="F38" s="5">
        <v>355.58821</v>
      </c>
      <c r="G38" s="5"/>
      <c r="H38" s="5"/>
    </row>
    <row r="39" spans="1:8" x14ac:dyDescent="0.25">
      <c r="A39" s="3" t="s">
        <v>10</v>
      </c>
      <c r="B39" s="5" t="s">
        <v>22</v>
      </c>
      <c r="C39" s="5" t="s">
        <v>29</v>
      </c>
      <c r="D39" s="5" t="s">
        <v>37</v>
      </c>
      <c r="E39" s="5" t="s">
        <v>30</v>
      </c>
      <c r="F39" s="5" t="s">
        <v>23</v>
      </c>
      <c r="G39" s="5"/>
      <c r="H39" s="5"/>
    </row>
    <row r="40" spans="1:8" x14ac:dyDescent="0.25">
      <c r="A40" s="3"/>
      <c r="B40" s="5"/>
      <c r="C40" s="5"/>
      <c r="D40" s="5"/>
      <c r="E40" s="5"/>
      <c r="F40" s="5"/>
      <c r="G40" s="5"/>
      <c r="H40" s="5"/>
    </row>
    <row r="41" spans="1:8" x14ac:dyDescent="0.25">
      <c r="A41" s="15">
        <v>8</v>
      </c>
      <c r="B41" s="5">
        <v>3027.51</v>
      </c>
      <c r="C41" s="5">
        <v>2965.24</v>
      </c>
      <c r="D41" s="5">
        <v>2922.17</v>
      </c>
      <c r="E41" s="5">
        <v>1361.86</v>
      </c>
      <c r="F41" s="5">
        <v>1180.05</v>
      </c>
      <c r="G41" s="5"/>
      <c r="H41" s="5"/>
    </row>
    <row r="42" spans="1:8" x14ac:dyDescent="0.25">
      <c r="A42" s="3" t="s">
        <v>9</v>
      </c>
      <c r="B42" s="5">
        <v>38.539729999999999</v>
      </c>
      <c r="C42" s="5">
        <v>69.373729999999995</v>
      </c>
      <c r="D42" s="5">
        <v>57.198079999999997</v>
      </c>
      <c r="E42" s="5">
        <v>59.767449999999997</v>
      </c>
      <c r="F42" s="5">
        <v>355.37419</v>
      </c>
      <c r="G42" s="5"/>
      <c r="H42" s="5"/>
    </row>
    <row r="43" spans="1:8" x14ac:dyDescent="0.25">
      <c r="A43" s="3" t="s">
        <v>10</v>
      </c>
      <c r="B43" s="5" t="s">
        <v>23</v>
      </c>
      <c r="C43" s="5" t="s">
        <v>30</v>
      </c>
      <c r="D43" s="5" t="s">
        <v>38</v>
      </c>
      <c r="E43" s="5" t="s">
        <v>40</v>
      </c>
      <c r="F43" s="5" t="s">
        <v>22</v>
      </c>
      <c r="G43" s="5"/>
      <c r="H43" s="5"/>
    </row>
    <row r="44" spans="1:8" x14ac:dyDescent="0.25">
      <c r="A44" s="3"/>
      <c r="B44" s="5"/>
      <c r="C44" s="5"/>
      <c r="D44" s="5"/>
      <c r="E44" s="5"/>
      <c r="F44" s="5"/>
    </row>
    <row r="45" spans="1:8" x14ac:dyDescent="0.25">
      <c r="A45" s="15">
        <v>9</v>
      </c>
      <c r="B45" s="5">
        <v>3028.51</v>
      </c>
      <c r="C45">
        <v>2967.35</v>
      </c>
      <c r="D45">
        <v>2975.39</v>
      </c>
      <c r="E45">
        <v>3004.32</v>
      </c>
      <c r="F45">
        <v>1181.3</v>
      </c>
    </row>
    <row r="46" spans="1:8" x14ac:dyDescent="0.25">
      <c r="A46" s="3" t="s">
        <v>9</v>
      </c>
      <c r="B46" s="5">
        <v>38.499609999999997</v>
      </c>
      <c r="C46">
        <v>69.485219999999998</v>
      </c>
      <c r="D46">
        <v>89.968919999999997</v>
      </c>
      <c r="E46">
        <v>63.030270000000002</v>
      </c>
      <c r="F46">
        <v>354.80511999999999</v>
      </c>
    </row>
    <row r="47" spans="1:8" x14ac:dyDescent="0.25">
      <c r="A47" s="3" t="s">
        <v>10</v>
      </c>
      <c r="B47" s="5" t="s">
        <v>22</v>
      </c>
      <c r="C47" t="s">
        <v>30</v>
      </c>
      <c r="D47" t="s">
        <v>39</v>
      </c>
      <c r="E47" t="s">
        <v>37</v>
      </c>
      <c r="F47" t="s">
        <v>23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="115" zoomScaleNormal="115" workbookViewId="0">
      <selection activeCell="H2" sqref="H2"/>
    </sheetView>
  </sheetViews>
  <sheetFormatPr defaultRowHeight="15" x14ac:dyDescent="0.25"/>
  <cols>
    <col min="2" max="2" width="15.140625" customWidth="1"/>
    <col min="3" max="3" width="9.5703125" customWidth="1"/>
    <col min="4" max="4" width="22.5703125" customWidth="1"/>
    <col min="5" max="5" width="19.5703125" customWidth="1"/>
    <col min="6" max="6" width="7.85546875" customWidth="1"/>
    <col min="7" max="7" width="8.85546875" customWidth="1"/>
    <col min="8" max="8" width="26.140625" customWidth="1"/>
    <col min="9" max="9" width="22.5703125" customWidth="1"/>
    <col min="10" max="10" width="41.42578125" customWidth="1"/>
    <col min="12" max="12" width="22.42578125" customWidth="1"/>
    <col min="13" max="13" width="20.28515625" style="5" customWidth="1"/>
    <col min="14" max="14" width="12" style="18" customWidth="1"/>
    <col min="15" max="15" width="18.140625" customWidth="1"/>
    <col min="16" max="16" width="22.5703125" customWidth="1"/>
    <col min="17" max="17" width="9.28515625" style="18" customWidth="1"/>
    <col min="19" max="19" width="19.140625" style="18" customWidth="1"/>
  </cols>
  <sheetData>
    <row r="1" spans="1:19" ht="35.25" customHeight="1" x14ac:dyDescent="0.25">
      <c r="A1" s="22" t="s">
        <v>13</v>
      </c>
      <c r="B1" s="22" t="s">
        <v>81</v>
      </c>
      <c r="C1" s="22" t="s">
        <v>80</v>
      </c>
      <c r="D1" s="22" t="s">
        <v>14</v>
      </c>
      <c r="E1" s="22" t="s">
        <v>15</v>
      </c>
      <c r="F1" s="22" t="s">
        <v>16</v>
      </c>
      <c r="G1" s="22" t="s">
        <v>17</v>
      </c>
      <c r="H1" s="22" t="s">
        <v>82</v>
      </c>
      <c r="I1" s="22" t="s">
        <v>42</v>
      </c>
      <c r="J1" s="22" t="s">
        <v>18</v>
      </c>
      <c r="K1" s="18"/>
      <c r="L1" s="18"/>
      <c r="M1" s="48" t="s">
        <v>63</v>
      </c>
      <c r="N1" s="48"/>
      <c r="O1" s="48"/>
    </row>
    <row r="2" spans="1:19" x14ac:dyDescent="0.25">
      <c r="A2" s="45" t="s">
        <v>0</v>
      </c>
      <c r="B2" s="49">
        <v>-25441.980368699999</v>
      </c>
      <c r="C2" s="49">
        <v>27.270859999999999</v>
      </c>
      <c r="D2" s="21">
        <v>1328</v>
      </c>
      <c r="E2" s="21">
        <f>D2*29980000000</f>
        <v>39813440000000</v>
      </c>
      <c r="F2" s="21">
        <f t="shared" ref="F2:F10" si="0">((p*E2)/(k*t))</f>
        <v>6.9952090146473358</v>
      </c>
      <c r="G2" s="21">
        <f>EXP(F2)</f>
        <v>1091.3917707606506</v>
      </c>
      <c r="H2" s="21">
        <f t="shared" ref="H2:H10" si="1">(gas*t*((F2)/((G2)-1)))/1000</f>
        <v>1.4569814357410086E-2</v>
      </c>
      <c r="I2" s="49">
        <f>SUM(H2:H10)</f>
        <v>5.4638454566678138E-2</v>
      </c>
      <c r="J2" s="49">
        <f>((3)*gas*t)/1000</f>
        <v>6.8132942033174997</v>
      </c>
      <c r="K2" s="18"/>
      <c r="L2" s="18"/>
      <c r="M2" s="5" t="s">
        <v>43</v>
      </c>
      <c r="O2" s="19">
        <v>6.626068E-34</v>
      </c>
    </row>
    <row r="3" spans="1:19" x14ac:dyDescent="0.25">
      <c r="A3" s="46"/>
      <c r="B3" s="49"/>
      <c r="C3" s="49"/>
      <c r="D3" s="21">
        <v>1328.57</v>
      </c>
      <c r="E3" s="21">
        <f t="shared" ref="E3:E46" si="2">D3*29980000000</f>
        <v>39830528600000</v>
      </c>
      <c r="F3" s="21">
        <f t="shared" si="0"/>
        <v>6.9982114763478993</v>
      </c>
      <c r="G3" s="21">
        <f t="shared" ref="G3:G46" si="3">EXP(F3)</f>
        <v>1094.6735570060448</v>
      </c>
      <c r="H3" s="21">
        <f t="shared" si="1"/>
        <v>1.4532329560299685E-2</v>
      </c>
      <c r="I3" s="49"/>
      <c r="J3" s="46"/>
      <c r="K3" s="18"/>
      <c r="L3" s="18"/>
      <c r="M3" s="5" t="s">
        <v>44</v>
      </c>
      <c r="O3" s="19">
        <v>1.3806503000000001E-23</v>
      </c>
    </row>
    <row r="4" spans="1:19" x14ac:dyDescent="0.25">
      <c r="A4" s="46"/>
      <c r="B4" s="49"/>
      <c r="C4" s="49"/>
      <c r="D4" s="21">
        <v>1328.63</v>
      </c>
      <c r="E4" s="21">
        <f t="shared" si="2"/>
        <v>39832327400000</v>
      </c>
      <c r="F4" s="21">
        <f t="shared" si="0"/>
        <v>6.9985275249479599</v>
      </c>
      <c r="G4" s="21">
        <f t="shared" si="3"/>
        <v>1095.0195817286944</v>
      </c>
      <c r="H4" s="21">
        <f t="shared" si="1"/>
        <v>1.4528389257938893E-2</v>
      </c>
      <c r="I4" s="49"/>
      <c r="J4" s="46"/>
      <c r="K4" s="18"/>
      <c r="L4" s="18"/>
      <c r="O4" s="20"/>
    </row>
    <row r="5" spans="1:19" x14ac:dyDescent="0.25">
      <c r="A5" s="46"/>
      <c r="B5" s="49"/>
      <c r="C5" s="49"/>
      <c r="D5" s="21">
        <v>1541.28</v>
      </c>
      <c r="E5" s="21">
        <f t="shared" si="2"/>
        <v>46207574400000</v>
      </c>
      <c r="F5" s="21">
        <f t="shared" si="0"/>
        <v>8.1186564383250346</v>
      </c>
      <c r="G5" s="21">
        <f t="shared" si="3"/>
        <v>3356.5080386466416</v>
      </c>
      <c r="H5" s="21">
        <f t="shared" si="1"/>
        <v>5.4949249823360146E-3</v>
      </c>
      <c r="I5" s="49"/>
      <c r="J5" s="46"/>
      <c r="K5" s="18"/>
      <c r="L5" s="18"/>
      <c r="M5" s="5" t="s">
        <v>45</v>
      </c>
      <c r="O5" s="18">
        <v>273.14999999999998</v>
      </c>
    </row>
    <row r="6" spans="1:19" x14ac:dyDescent="0.25">
      <c r="A6" s="46"/>
      <c r="B6" s="49"/>
      <c r="C6" s="49"/>
      <c r="D6" s="21">
        <v>1541.34</v>
      </c>
      <c r="E6" s="21">
        <f t="shared" si="2"/>
        <v>46209373200000</v>
      </c>
      <c r="F6" s="21">
        <f t="shared" si="0"/>
        <v>8.1189724869250952</v>
      </c>
      <c r="G6" s="21">
        <f t="shared" si="3"/>
        <v>3357.5690259662952</v>
      </c>
      <c r="H6" s="21">
        <f t="shared" si="1"/>
        <v>5.4934019186587187E-3</v>
      </c>
      <c r="I6" s="49"/>
      <c r="J6" s="46"/>
      <c r="K6" s="18"/>
      <c r="L6" s="18"/>
      <c r="M6" s="5" t="s">
        <v>46</v>
      </c>
      <c r="O6" s="18">
        <v>8.3144721500000003</v>
      </c>
    </row>
    <row r="7" spans="1:19" x14ac:dyDescent="0.25">
      <c r="A7" s="46"/>
      <c r="B7" s="49"/>
      <c r="C7" s="49"/>
      <c r="D7" s="21">
        <v>2937.19</v>
      </c>
      <c r="E7" s="21">
        <f t="shared" si="2"/>
        <v>88056956200000</v>
      </c>
      <c r="F7" s="21">
        <f t="shared" si="0"/>
        <v>15.471579793472896</v>
      </c>
      <c r="G7" s="21">
        <f t="shared" si="3"/>
        <v>5238678.3095142152</v>
      </c>
      <c r="H7" s="21">
        <f t="shared" si="1"/>
        <v>6.7073180687288134E-6</v>
      </c>
      <c r="I7" s="49"/>
      <c r="J7" s="46"/>
      <c r="K7" s="18"/>
      <c r="L7" s="18"/>
      <c r="O7" s="18"/>
    </row>
    <row r="8" spans="1:19" x14ac:dyDescent="0.25">
      <c r="A8" s="46"/>
      <c r="B8" s="49"/>
      <c r="C8" s="49"/>
      <c r="D8" s="21">
        <v>3026.58</v>
      </c>
      <c r="E8" s="21">
        <f t="shared" si="2"/>
        <v>90736868400000</v>
      </c>
      <c r="F8" s="21">
        <f t="shared" si="0"/>
        <v>15.942439532794678</v>
      </c>
      <c r="G8" s="21">
        <f t="shared" si="3"/>
        <v>8389064.1842013765</v>
      </c>
      <c r="H8" s="21">
        <f t="shared" si="1"/>
        <v>4.3159579113310418E-6</v>
      </c>
      <c r="I8" s="49"/>
      <c r="J8" s="46"/>
      <c r="K8" s="18"/>
      <c r="L8" s="44" t="s">
        <v>66</v>
      </c>
      <c r="M8" s="44"/>
      <c r="N8" s="44"/>
      <c r="O8" s="44"/>
      <c r="P8" s="44"/>
      <c r="Q8"/>
      <c r="S8"/>
    </row>
    <row r="9" spans="1:19" x14ac:dyDescent="0.25">
      <c r="A9" s="46"/>
      <c r="B9" s="49"/>
      <c r="C9" s="49"/>
      <c r="D9" s="21">
        <v>3027.51</v>
      </c>
      <c r="E9" s="21">
        <f t="shared" si="2"/>
        <v>90764749800000</v>
      </c>
      <c r="F9" s="21">
        <f t="shared" si="0"/>
        <v>15.947338286095599</v>
      </c>
      <c r="G9" s="21">
        <f t="shared" si="3"/>
        <v>8430260.9641102348</v>
      </c>
      <c r="H9" s="21">
        <f t="shared" si="1"/>
        <v>4.2961865140405217E-6</v>
      </c>
      <c r="I9" s="49"/>
      <c r="J9" s="46"/>
      <c r="K9" s="18"/>
      <c r="N9"/>
      <c r="Q9"/>
      <c r="S9"/>
    </row>
    <row r="10" spans="1:19" x14ac:dyDescent="0.25">
      <c r="A10" s="47"/>
      <c r="B10" s="49"/>
      <c r="C10" s="49"/>
      <c r="D10" s="21">
        <v>3028.51</v>
      </c>
      <c r="E10" s="21">
        <f t="shared" si="2"/>
        <v>90794729800000</v>
      </c>
      <c r="F10" s="21">
        <f t="shared" si="0"/>
        <v>15.952605762763254</v>
      </c>
      <c r="G10" s="21">
        <f t="shared" si="3"/>
        <v>8474784.3269819301</v>
      </c>
      <c r="H10" s="21">
        <f t="shared" si="1"/>
        <v>4.2750275406333487E-6</v>
      </c>
      <c r="I10" s="49"/>
      <c r="J10" s="47"/>
      <c r="K10" s="18"/>
      <c r="L10" s="25" t="s">
        <v>13</v>
      </c>
      <c r="M10" s="29" t="s">
        <v>55</v>
      </c>
      <c r="N10"/>
      <c r="Q10"/>
      <c r="S10"/>
    </row>
    <row r="11" spans="1:19" x14ac:dyDescent="0.25">
      <c r="A11" s="45" t="s">
        <v>1</v>
      </c>
      <c r="B11" s="49">
        <v>-87723.308411000005</v>
      </c>
      <c r="C11" s="49">
        <v>23.65672</v>
      </c>
      <c r="D11" s="21">
        <v>984.03</v>
      </c>
      <c r="E11" s="21">
        <f t="shared" si="2"/>
        <v>29501219400000</v>
      </c>
      <c r="F11" s="21">
        <f t="shared" ref="F11:F19" si="4">((p*E11)/(k*t))</f>
        <v>5.1833550652736582</v>
      </c>
      <c r="G11" s="21">
        <f t="shared" si="3"/>
        <v>178.27994958158578</v>
      </c>
      <c r="H11" s="21">
        <f t="shared" ref="H11:H19" si="5">(gas*t*((F11)/((G11)-1)))/1000</f>
        <v>6.640292769208099E-2</v>
      </c>
      <c r="I11" s="49">
        <f>SUM(H11:H19)</f>
        <v>0.15152842476399436</v>
      </c>
      <c r="J11" s="49">
        <f>((3)*gas*t)/1000</f>
        <v>6.8132942033174997</v>
      </c>
      <c r="K11" s="18"/>
      <c r="L11" s="17" t="s">
        <v>0</v>
      </c>
      <c r="M11" s="28">
        <f>B2+C2+I2+J2</f>
        <v>-25407.841576042112</v>
      </c>
      <c r="N11"/>
      <c r="Q11"/>
      <c r="S11"/>
    </row>
    <row r="12" spans="1:19" x14ac:dyDescent="0.25">
      <c r="A12" s="46"/>
      <c r="B12" s="49"/>
      <c r="C12" s="49"/>
      <c r="D12" s="21">
        <v>1154.93</v>
      </c>
      <c r="E12" s="21">
        <f t="shared" si="2"/>
        <v>34624801400000</v>
      </c>
      <c r="F12" s="21">
        <f t="shared" si="4"/>
        <v>6.0835668277760906</v>
      </c>
      <c r="G12" s="21">
        <f t="shared" si="3"/>
        <v>438.59078589689022</v>
      </c>
      <c r="H12" s="21">
        <f t="shared" si="5"/>
        <v>3.1573738097361852E-2</v>
      </c>
      <c r="I12" s="49"/>
      <c r="J12" s="46"/>
      <c r="K12" s="18"/>
      <c r="L12" s="17" t="s">
        <v>1</v>
      </c>
      <c r="M12" s="28">
        <f>B11+C11+I11+J11</f>
        <v>-87692.686868371937</v>
      </c>
      <c r="N12"/>
      <c r="Q12"/>
      <c r="S12"/>
    </row>
    <row r="13" spans="1:19" x14ac:dyDescent="0.25">
      <c r="A13" s="46"/>
      <c r="B13" s="49"/>
      <c r="C13" s="49"/>
      <c r="D13" s="21">
        <v>1155.1500000000001</v>
      </c>
      <c r="E13" s="21">
        <f t="shared" si="2"/>
        <v>34631397000000.004</v>
      </c>
      <c r="F13" s="21">
        <f t="shared" si="4"/>
        <v>6.0847256726429748</v>
      </c>
      <c r="G13" s="21">
        <f t="shared" si="3"/>
        <v>439.0993391880628</v>
      </c>
      <c r="H13" s="21">
        <f t="shared" si="5"/>
        <v>3.1543094184246417E-2</v>
      </c>
      <c r="I13" s="49"/>
      <c r="J13" s="46"/>
      <c r="K13" s="18"/>
      <c r="L13" s="17" t="s">
        <v>2</v>
      </c>
      <c r="M13" s="28">
        <f>B20+C20+I20+J20</f>
        <v>-149995.20717823089</v>
      </c>
      <c r="N13"/>
      <c r="Q13"/>
      <c r="S13"/>
    </row>
    <row r="14" spans="1:19" x14ac:dyDescent="0.25">
      <c r="A14" s="46"/>
      <c r="B14" s="49"/>
      <c r="C14" s="49"/>
      <c r="D14" s="21">
        <v>1474.22</v>
      </c>
      <c r="E14" s="21">
        <f t="shared" si="2"/>
        <v>44197115600000</v>
      </c>
      <c r="F14" s="21">
        <f t="shared" si="4"/>
        <v>7.7654194529920142</v>
      </c>
      <c r="G14" s="21">
        <f t="shared" si="3"/>
        <v>2357.647203322505</v>
      </c>
      <c r="H14" s="21">
        <f t="shared" si="5"/>
        <v>7.4835253619078392E-3</v>
      </c>
      <c r="I14" s="49"/>
      <c r="J14" s="46"/>
      <c r="K14" s="18"/>
      <c r="L14" s="17" t="s">
        <v>3</v>
      </c>
      <c r="M14" s="28">
        <f>B29+C29+I29+J29</f>
        <v>-212305.69393718382</v>
      </c>
      <c r="N14"/>
      <c r="Q14"/>
      <c r="S14"/>
    </row>
    <row r="15" spans="1:19" x14ac:dyDescent="0.25">
      <c r="A15" s="46"/>
      <c r="B15" s="49"/>
      <c r="C15" s="49"/>
      <c r="D15" s="21">
        <v>1474.41</v>
      </c>
      <c r="E15" s="21">
        <f t="shared" si="2"/>
        <v>44202811800000</v>
      </c>
      <c r="F15" s="21">
        <f t="shared" si="4"/>
        <v>7.766420273558869</v>
      </c>
      <c r="G15" s="21">
        <f t="shared" si="3"/>
        <v>2360.0079662859885</v>
      </c>
      <c r="H15" s="21">
        <f t="shared" si="5"/>
        <v>7.4769997935014943E-3</v>
      </c>
      <c r="I15" s="49"/>
      <c r="J15" s="46"/>
      <c r="K15" s="18"/>
      <c r="L15" s="17" t="s">
        <v>4</v>
      </c>
      <c r="M15" s="28">
        <f>B38+C38+I38+J38</f>
        <v>-274614.11992494325</v>
      </c>
      <c r="N15"/>
      <c r="Q15"/>
      <c r="S15"/>
    </row>
    <row r="16" spans="1:19" x14ac:dyDescent="0.25">
      <c r="A16" s="46"/>
      <c r="B16" s="49"/>
      <c r="C16" s="49"/>
      <c r="D16" s="21">
        <v>1487.86</v>
      </c>
      <c r="E16" s="21">
        <f t="shared" si="2"/>
        <v>44606042800000</v>
      </c>
      <c r="F16" s="21">
        <f t="shared" si="4"/>
        <v>7.8372678347388431</v>
      </c>
      <c r="G16" s="21">
        <f t="shared" si="3"/>
        <v>2533.2740467628178</v>
      </c>
      <c r="H16" s="21">
        <f t="shared" si="5"/>
        <v>7.0289405914991353E-3</v>
      </c>
      <c r="I16" s="49"/>
      <c r="J16" s="46"/>
      <c r="K16" s="18"/>
      <c r="L16" s="18"/>
      <c r="O16" s="18"/>
    </row>
    <row r="17" spans="1:19" x14ac:dyDescent="0.25">
      <c r="A17" s="46"/>
      <c r="B17" s="49"/>
      <c r="C17" s="49"/>
      <c r="D17" s="21">
        <v>2912.44</v>
      </c>
      <c r="E17" s="21">
        <f t="shared" si="2"/>
        <v>87314951200000</v>
      </c>
      <c r="F17" s="21">
        <f t="shared" si="4"/>
        <v>15.341209745948408</v>
      </c>
      <c r="G17" s="21">
        <f t="shared" si="3"/>
        <v>4598357.5619372986</v>
      </c>
      <c r="H17" s="21">
        <f t="shared" si="5"/>
        <v>7.5769226118118398E-6</v>
      </c>
      <c r="I17" s="49"/>
      <c r="J17" s="46"/>
      <c r="L17" s="27" t="s">
        <v>64</v>
      </c>
      <c r="M17" s="29" t="s">
        <v>57</v>
      </c>
      <c r="N17" s="25" t="s">
        <v>58</v>
      </c>
      <c r="O17" s="26" t="s">
        <v>56</v>
      </c>
    </row>
    <row r="18" spans="1:19" x14ac:dyDescent="0.25">
      <c r="A18" s="46"/>
      <c r="B18" s="49"/>
      <c r="C18" s="49"/>
      <c r="D18" s="21">
        <v>2965.24</v>
      </c>
      <c r="E18" s="21">
        <f t="shared" si="2"/>
        <v>88897895200000</v>
      </c>
      <c r="F18" s="21">
        <f t="shared" si="4"/>
        <v>15.619332514000652</v>
      </c>
      <c r="G18" s="21">
        <f t="shared" si="3"/>
        <v>6072813.1920546684</v>
      </c>
      <c r="H18" s="21">
        <f t="shared" si="5"/>
        <v>5.8412865029572326E-6</v>
      </c>
      <c r="I18" s="49"/>
      <c r="J18" s="46"/>
      <c r="L18" s="17" t="s">
        <v>47</v>
      </c>
      <c r="M18" s="28">
        <f>2*M13</f>
        <v>-299990.41435646178</v>
      </c>
      <c r="N18" s="17">
        <f>M11+M15</f>
        <v>-300021.96150098537</v>
      </c>
      <c r="O18" s="17">
        <f>M18-N18</f>
        <v>31.547144523588941</v>
      </c>
    </row>
    <row r="19" spans="1:19" x14ac:dyDescent="0.25">
      <c r="A19" s="47"/>
      <c r="B19" s="49"/>
      <c r="C19" s="49"/>
      <c r="D19" s="21">
        <v>2967.35</v>
      </c>
      <c r="E19" s="21">
        <f t="shared" si="2"/>
        <v>88961153000000</v>
      </c>
      <c r="F19" s="21">
        <f t="shared" si="4"/>
        <v>15.630446889769408</v>
      </c>
      <c r="G19" s="21">
        <f>EXP(F19)</f>
        <v>6140685.1986567723</v>
      </c>
      <c r="H19" s="21">
        <f t="shared" si="5"/>
        <v>5.7808342818770839E-6</v>
      </c>
      <c r="I19" s="49"/>
      <c r="J19" s="47"/>
      <c r="L19" s="17" t="s">
        <v>48</v>
      </c>
      <c r="M19" s="28">
        <f>M14+M12</f>
        <v>-299998.38080555573</v>
      </c>
      <c r="N19" s="17">
        <f>N18</f>
        <v>-300021.96150098537</v>
      </c>
      <c r="O19" s="17">
        <f t="shared" ref="O19:O23" si="6">M19-N19</f>
        <v>23.580695429642219</v>
      </c>
    </row>
    <row r="20" spans="1:19" x14ac:dyDescent="0.25">
      <c r="A20" s="45" t="s">
        <v>2</v>
      </c>
      <c r="B20" s="49">
        <v>-150022.45453620001</v>
      </c>
      <c r="C20" s="49">
        <v>19.75131</v>
      </c>
      <c r="D20" s="21">
        <v>481.5</v>
      </c>
      <c r="E20" s="21">
        <f t="shared" si="2"/>
        <v>14435370000000</v>
      </c>
      <c r="F20" s="21">
        <f t="shared" ref="F20:F28" si="7">((p*E20)/(k*t))</f>
        <v>2.5362900154764247</v>
      </c>
      <c r="G20" s="21">
        <f t="shared" si="3"/>
        <v>12.632716741356825</v>
      </c>
      <c r="H20" s="21">
        <f t="shared" ref="H20:H28" si="8">(gas*t*((F20)/((G20)-1)))/1000</f>
        <v>0.49516922671903152</v>
      </c>
      <c r="I20" s="49">
        <f>SUM(H20:H28)</f>
        <v>0.68275376579789815</v>
      </c>
      <c r="J20" s="49">
        <f>((3)*gas*t)/1000</f>
        <v>6.8132942033174997</v>
      </c>
      <c r="L20" s="17" t="s">
        <v>49</v>
      </c>
      <c r="M20" s="28">
        <f>2*M12</f>
        <v>-175385.37373674387</v>
      </c>
      <c r="N20" s="17">
        <f>M11+M13</f>
        <v>-175403.04875427301</v>
      </c>
      <c r="O20" s="17">
        <f t="shared" si="6"/>
        <v>17.675017529138131</v>
      </c>
    </row>
    <row r="21" spans="1:19" x14ac:dyDescent="0.25">
      <c r="A21" s="46"/>
      <c r="B21" s="49"/>
      <c r="C21" s="49"/>
      <c r="D21" s="21">
        <v>1006.42</v>
      </c>
      <c r="E21" s="21">
        <f t="shared" si="2"/>
        <v>30172471600000</v>
      </c>
      <c r="F21" s="21">
        <f t="shared" si="7"/>
        <v>5.301293867862479</v>
      </c>
      <c r="G21" s="21">
        <f t="shared" si="3"/>
        <v>200.59618709856684</v>
      </c>
      <c r="H21" s="21">
        <f t="shared" si="8"/>
        <v>6.0320582447053801E-2</v>
      </c>
      <c r="I21" s="49"/>
      <c r="J21" s="46"/>
      <c r="L21" s="17" t="s">
        <v>50</v>
      </c>
      <c r="M21" s="28">
        <f>2*M13</f>
        <v>-299990.41435646178</v>
      </c>
      <c r="N21" s="17">
        <f>M12+M14</f>
        <v>-299998.38080555573</v>
      </c>
      <c r="O21" s="17">
        <f t="shared" si="6"/>
        <v>7.9664490939467214</v>
      </c>
    </row>
    <row r="22" spans="1:19" x14ac:dyDescent="0.25">
      <c r="A22" s="46"/>
      <c r="B22" s="49"/>
      <c r="C22" s="49"/>
      <c r="D22" s="21">
        <v>1029.44</v>
      </c>
      <c r="E22" s="21">
        <f t="shared" si="2"/>
        <v>30862611200000</v>
      </c>
      <c r="F22" s="21">
        <f t="shared" si="7"/>
        <v>5.4225511807519231</v>
      </c>
      <c r="G22" s="21">
        <f t="shared" si="3"/>
        <v>226.45611666687714</v>
      </c>
      <c r="H22" s="21">
        <f t="shared" si="8"/>
        <v>5.4623248599635167E-2</v>
      </c>
      <c r="I22" s="49"/>
      <c r="J22" s="46"/>
      <c r="L22" s="17" t="s">
        <v>51</v>
      </c>
      <c r="M22" s="28">
        <f>2*M14</f>
        <v>-424611.38787436765</v>
      </c>
      <c r="N22" s="17">
        <f>M13+M15</f>
        <v>-424609.32710317418</v>
      </c>
      <c r="O22" s="17">
        <f t="shared" si="6"/>
        <v>-2.0607711934717372</v>
      </c>
    </row>
    <row r="23" spans="1:19" x14ac:dyDescent="0.25">
      <c r="A23" s="46"/>
      <c r="B23" s="49"/>
      <c r="C23" s="49"/>
      <c r="D23" s="21">
        <v>1142.46</v>
      </c>
      <c r="E23" s="21">
        <f t="shared" si="2"/>
        <v>34250950800000</v>
      </c>
      <c r="F23" s="21">
        <f t="shared" si="7"/>
        <v>6.0178813937304181</v>
      </c>
      <c r="G23" s="21">
        <f t="shared" si="3"/>
        <v>410.70754576509677</v>
      </c>
      <c r="H23" s="21">
        <f t="shared" si="8"/>
        <v>3.3358425898314385E-2</v>
      </c>
      <c r="I23" s="49"/>
      <c r="J23" s="46"/>
      <c r="L23" s="17" t="s">
        <v>52</v>
      </c>
      <c r="M23" s="28">
        <f>M11+M14</f>
        <v>-237713.53551322594</v>
      </c>
      <c r="N23" s="17">
        <f>M13+M12</f>
        <v>-237687.89404660283</v>
      </c>
      <c r="O23" s="17">
        <f t="shared" si="6"/>
        <v>-25.641466623113956</v>
      </c>
    </row>
    <row r="24" spans="1:19" x14ac:dyDescent="0.25">
      <c r="A24" s="46"/>
      <c r="B24" s="49"/>
      <c r="C24" s="49"/>
      <c r="D24" s="21">
        <v>1213</v>
      </c>
      <c r="E24" s="21">
        <f t="shared" si="2"/>
        <v>36365740000000</v>
      </c>
      <c r="F24" s="21">
        <f t="shared" si="7"/>
        <v>6.389449197866881</v>
      </c>
      <c r="G24" s="21">
        <f t="shared" si="3"/>
        <v>595.52847098267409</v>
      </c>
      <c r="H24" s="21">
        <f t="shared" si="8"/>
        <v>2.4407688505516344E-2</v>
      </c>
      <c r="I24" s="49"/>
      <c r="J24" s="46"/>
    </row>
    <row r="25" spans="1:19" x14ac:dyDescent="0.25">
      <c r="A25" s="46"/>
      <c r="B25" s="49"/>
      <c r="C25" s="49"/>
      <c r="D25" s="21">
        <v>1445.14</v>
      </c>
      <c r="E25" s="21">
        <f t="shared" si="2"/>
        <v>43325297200000</v>
      </c>
      <c r="F25" s="21">
        <f t="shared" si="7"/>
        <v>7.6122412314965739</v>
      </c>
      <c r="G25" s="21">
        <f t="shared" si="3"/>
        <v>2022.8065989724848</v>
      </c>
      <c r="H25" s="21">
        <f t="shared" si="8"/>
        <v>8.5508407980546403E-3</v>
      </c>
      <c r="I25" s="49"/>
      <c r="J25" s="46"/>
    </row>
    <row r="26" spans="1:19" x14ac:dyDescent="0.25">
      <c r="A26" s="46"/>
      <c r="B26" s="49"/>
      <c r="C26" s="49"/>
      <c r="D26" s="21">
        <v>1511.27</v>
      </c>
      <c r="E26" s="21">
        <f t="shared" si="2"/>
        <v>45307874600000</v>
      </c>
      <c r="F26" s="21">
        <f t="shared" si="7"/>
        <v>7.9605794635286751</v>
      </c>
      <c r="G26" s="21">
        <f t="shared" si="3"/>
        <v>2865.7330592651106</v>
      </c>
      <c r="H26" s="21">
        <f t="shared" si="8"/>
        <v>6.310974273675358E-3</v>
      </c>
      <c r="I26" s="49"/>
      <c r="J26" s="46"/>
      <c r="L26" s="44" t="s">
        <v>68</v>
      </c>
      <c r="M26" s="44"/>
      <c r="N26" s="44"/>
      <c r="O26" s="44"/>
      <c r="P26" s="44"/>
      <c r="Q26" s="44"/>
    </row>
    <row r="27" spans="1:19" x14ac:dyDescent="0.25">
      <c r="A27" s="46"/>
      <c r="B27" s="49"/>
      <c r="C27" s="49"/>
      <c r="D27" s="21">
        <v>2922.17</v>
      </c>
      <c r="E27" s="21">
        <f t="shared" si="2"/>
        <v>87606656600000</v>
      </c>
      <c r="F27" s="21">
        <f t="shared" si="7"/>
        <v>15.392462293924705</v>
      </c>
      <c r="G27" s="21">
        <f t="shared" si="3"/>
        <v>4840179.1570381001</v>
      </c>
      <c r="H27" s="21">
        <f t="shared" si="8"/>
        <v>7.222418315979E-6</v>
      </c>
      <c r="I27" s="49"/>
      <c r="J27" s="46"/>
    </row>
    <row r="28" spans="1:19" x14ac:dyDescent="0.25">
      <c r="A28" s="47"/>
      <c r="B28" s="49"/>
      <c r="C28" s="49"/>
      <c r="D28" s="21">
        <v>2975.39</v>
      </c>
      <c r="E28" s="21">
        <f t="shared" si="2"/>
        <v>89202192200000</v>
      </c>
      <c r="F28" s="21">
        <f t="shared" si="7"/>
        <v>15.672797402177361</v>
      </c>
      <c r="G28" s="21">
        <f t="shared" si="3"/>
        <v>6406331.7947175791</v>
      </c>
      <c r="H28" s="21">
        <f t="shared" si="8"/>
        <v>5.5561383008858547E-6</v>
      </c>
      <c r="I28" s="49"/>
      <c r="J28" s="47"/>
      <c r="L28" s="25" t="s">
        <v>13</v>
      </c>
      <c r="M28" s="28" t="s">
        <v>69</v>
      </c>
      <c r="P28" s="17" t="s">
        <v>61</v>
      </c>
      <c r="Q28" s="24" t="s">
        <v>54</v>
      </c>
      <c r="R28" s="24" t="s">
        <v>53</v>
      </c>
      <c r="S28" s="24" t="s">
        <v>67</v>
      </c>
    </row>
    <row r="29" spans="1:19" x14ac:dyDescent="0.25">
      <c r="A29" s="45" t="s">
        <v>3</v>
      </c>
      <c r="B29" s="49">
        <v>-212329.0493789</v>
      </c>
      <c r="C29" s="49">
        <v>15.03636</v>
      </c>
      <c r="D29" s="21">
        <v>459.08</v>
      </c>
      <c r="E29" s="21">
        <f t="shared" si="2"/>
        <v>13763218400000</v>
      </c>
      <c r="F29" s="21">
        <f t="shared" ref="F29:F37" si="9">((p*E29)/(k*t))</f>
        <v>2.4181931885875745</v>
      </c>
      <c r="G29" s="21">
        <f t="shared" si="3"/>
        <v>11.225558513311942</v>
      </c>
      <c r="H29" s="21">
        <f t="shared" ref="H29:H37" si="10">(gas*t*((F29)/((G29)-1)))/1000</f>
        <v>0.53708106710770553</v>
      </c>
      <c r="I29" s="49">
        <f>SUM(H29:H37)</f>
        <v>1.5057875128696894</v>
      </c>
      <c r="J29" s="49">
        <f>((3)*gas*t)/1000</f>
        <v>6.8132942033174997</v>
      </c>
      <c r="L29" s="17" t="s">
        <v>0</v>
      </c>
      <c r="M29" s="28">
        <v>-74.87</v>
      </c>
      <c r="P29" s="17" t="s">
        <v>47</v>
      </c>
      <c r="Q29" s="17">
        <f>2*M31</f>
        <v>-901.32</v>
      </c>
      <c r="R29" s="17">
        <f>M29+M33</f>
        <v>-1004.87</v>
      </c>
      <c r="S29" s="17">
        <f>Q29-R29</f>
        <v>103.54999999999995</v>
      </c>
    </row>
    <row r="30" spans="1:19" x14ac:dyDescent="0.25">
      <c r="A30" s="46"/>
      <c r="B30" s="49"/>
      <c r="C30" s="49"/>
      <c r="D30" s="21">
        <v>461.79</v>
      </c>
      <c r="E30" s="21">
        <f t="shared" si="2"/>
        <v>13844464200000</v>
      </c>
      <c r="F30" s="21">
        <f t="shared" si="9"/>
        <v>2.4324680503569227</v>
      </c>
      <c r="G30" s="21">
        <f t="shared" si="3"/>
        <v>11.386950996474956</v>
      </c>
      <c r="H30" s="21">
        <f t="shared" si="10"/>
        <v>0.53185708596861248</v>
      </c>
      <c r="I30" s="49"/>
      <c r="J30" s="46"/>
      <c r="L30" s="17" t="s">
        <v>1</v>
      </c>
      <c r="M30" s="28">
        <v>-234.3</v>
      </c>
      <c r="P30" s="17" t="s">
        <v>48</v>
      </c>
      <c r="Q30" s="17">
        <f>M32+M30</f>
        <v>-924.3</v>
      </c>
      <c r="R30" s="17">
        <f>R29</f>
        <v>-1004.87</v>
      </c>
      <c r="S30" s="17">
        <f t="shared" ref="S30:S34" si="11">Q30-R30</f>
        <v>80.57000000000005</v>
      </c>
    </row>
    <row r="31" spans="1:19" x14ac:dyDescent="0.25">
      <c r="A31" s="46"/>
      <c r="B31" s="49"/>
      <c r="C31" s="49"/>
      <c r="D31" s="21">
        <v>642.58000000000004</v>
      </c>
      <c r="E31" s="21">
        <f t="shared" si="2"/>
        <v>19264548400000</v>
      </c>
      <c r="F31" s="21">
        <f t="shared" si="9"/>
        <v>3.3847751571024736</v>
      </c>
      <c r="G31" s="21">
        <f t="shared" si="3"/>
        <v>29.511356551215265</v>
      </c>
      <c r="H31" s="21">
        <f t="shared" si="10"/>
        <v>0.26961734722552622</v>
      </c>
      <c r="I31" s="49"/>
      <c r="J31" s="46"/>
      <c r="L31" s="17" t="s">
        <v>2</v>
      </c>
      <c r="M31" s="28">
        <v>-450.66</v>
      </c>
      <c r="P31" s="17" t="s">
        <v>49</v>
      </c>
      <c r="Q31" s="17">
        <f>2*M30</f>
        <v>-468.6</v>
      </c>
      <c r="R31" s="17">
        <f>M29+M31</f>
        <v>-525.53</v>
      </c>
      <c r="S31" s="17">
        <f t="shared" si="11"/>
        <v>56.92999999999995</v>
      </c>
    </row>
    <row r="32" spans="1:19" x14ac:dyDescent="0.25">
      <c r="A32" s="46"/>
      <c r="B32" s="49"/>
      <c r="C32" s="49"/>
      <c r="D32" s="21">
        <v>1058.5</v>
      </c>
      <c r="E32" s="21">
        <f t="shared" si="2"/>
        <v>31733830000000</v>
      </c>
      <c r="F32" s="21">
        <f t="shared" si="9"/>
        <v>5.5756240527140104</v>
      </c>
      <c r="G32" s="21">
        <f t="shared" si="3"/>
        <v>263.91420063118767</v>
      </c>
      <c r="H32" s="21">
        <f t="shared" si="10"/>
        <v>4.8163199181880036E-2</v>
      </c>
      <c r="I32" s="49"/>
      <c r="J32" s="46"/>
      <c r="L32" s="17" t="s">
        <v>3</v>
      </c>
      <c r="M32" s="28">
        <v>-690</v>
      </c>
      <c r="P32" s="17" t="s">
        <v>50</v>
      </c>
      <c r="Q32" s="17">
        <f>2*M31</f>
        <v>-901.32</v>
      </c>
      <c r="R32" s="17">
        <f>M32+M30</f>
        <v>-924.3</v>
      </c>
      <c r="S32" s="17">
        <f t="shared" si="11"/>
        <v>22.979999999999905</v>
      </c>
    </row>
    <row r="33" spans="1:19" x14ac:dyDescent="0.25">
      <c r="A33" s="46"/>
      <c r="B33" s="49"/>
      <c r="C33" s="49"/>
      <c r="D33" s="21">
        <v>1063.6400000000001</v>
      </c>
      <c r="E33" s="21">
        <f t="shared" si="2"/>
        <v>31887927200000.004</v>
      </c>
      <c r="F33" s="21">
        <f t="shared" si="9"/>
        <v>5.6026988827857629</v>
      </c>
      <c r="G33" s="21">
        <f t="shared" si="3"/>
        <v>271.15724237729034</v>
      </c>
      <c r="H33" s="21">
        <f t="shared" si="10"/>
        <v>4.7099528019447626E-2</v>
      </c>
      <c r="I33" s="49"/>
      <c r="J33" s="46"/>
      <c r="L33" s="17" t="s">
        <v>4</v>
      </c>
      <c r="M33" s="28">
        <v>-930</v>
      </c>
      <c r="P33" s="17" t="s">
        <v>51</v>
      </c>
      <c r="Q33" s="17">
        <f>2*M32</f>
        <v>-1380</v>
      </c>
      <c r="R33" s="17">
        <f>M33+M31</f>
        <v>-1380.66</v>
      </c>
      <c r="S33" s="17">
        <f t="shared" si="11"/>
        <v>0.66000000000008185</v>
      </c>
    </row>
    <row r="34" spans="1:19" x14ac:dyDescent="0.25">
      <c r="A34" s="46"/>
      <c r="B34" s="49"/>
      <c r="C34" s="49"/>
      <c r="D34" s="21">
        <v>1064.6500000000001</v>
      </c>
      <c r="E34" s="21">
        <f t="shared" si="2"/>
        <v>31918207000000.004</v>
      </c>
      <c r="F34" s="21">
        <f t="shared" si="9"/>
        <v>5.6080190342200957</v>
      </c>
      <c r="G34" s="21">
        <f t="shared" si="3"/>
        <v>272.60368420235494</v>
      </c>
      <c r="H34" s="21">
        <f t="shared" si="10"/>
        <v>4.6893182727078146E-2</v>
      </c>
      <c r="I34" s="49"/>
      <c r="J34" s="46"/>
      <c r="L34" s="18"/>
      <c r="O34" s="18"/>
      <c r="P34" s="17" t="s">
        <v>52</v>
      </c>
      <c r="Q34" s="17">
        <f>M29+M32</f>
        <v>-764.87</v>
      </c>
      <c r="R34" s="17">
        <f>M31+M30</f>
        <v>-684.96</v>
      </c>
      <c r="S34" s="17">
        <f t="shared" si="11"/>
        <v>-79.909999999999968</v>
      </c>
    </row>
    <row r="35" spans="1:19" x14ac:dyDescent="0.25">
      <c r="A35" s="46"/>
      <c r="B35" s="49"/>
      <c r="C35" s="49"/>
      <c r="D35" s="21">
        <v>1360.56</v>
      </c>
      <c r="E35" s="21">
        <f t="shared" si="2"/>
        <v>40789588800000</v>
      </c>
      <c r="F35" s="21">
        <f t="shared" si="9"/>
        <v>7.1667180549462186</v>
      </c>
      <c r="G35" s="21">
        <f t="shared" si="3"/>
        <v>1295.5855770063829</v>
      </c>
      <c r="H35" s="21">
        <f t="shared" si="10"/>
        <v>1.2572609965651111E-2</v>
      </c>
      <c r="I35" s="49"/>
      <c r="J35" s="46"/>
      <c r="L35" s="18"/>
      <c r="O35" s="18"/>
      <c r="S35"/>
    </row>
    <row r="36" spans="1:19" x14ac:dyDescent="0.25">
      <c r="A36" s="46"/>
      <c r="B36" s="49"/>
      <c r="C36" s="49"/>
      <c r="D36" s="21">
        <v>1361.86</v>
      </c>
      <c r="E36" s="21">
        <f t="shared" si="2"/>
        <v>40828562800000</v>
      </c>
      <c r="F36" s="21">
        <f t="shared" si="9"/>
        <v>7.1735657746141728</v>
      </c>
      <c r="G36" s="21">
        <f t="shared" si="3"/>
        <v>1304.4878291205519</v>
      </c>
      <c r="H36" s="21">
        <f t="shared" si="10"/>
        <v>1.2498675481118318E-2</v>
      </c>
      <c r="I36" s="49"/>
      <c r="J36" s="46"/>
      <c r="L36" s="18"/>
      <c r="O36" s="18"/>
      <c r="S36"/>
    </row>
    <row r="37" spans="1:19" x14ac:dyDescent="0.25">
      <c r="A37" s="47"/>
      <c r="B37" s="49"/>
      <c r="C37" s="49"/>
      <c r="D37" s="21">
        <v>3004.32</v>
      </c>
      <c r="E37" s="21">
        <f t="shared" si="2"/>
        <v>90069513600000</v>
      </c>
      <c r="F37" s="21">
        <f t="shared" si="9"/>
        <v>15.825185502172653</v>
      </c>
      <c r="G37" s="21">
        <f t="shared" si="3"/>
        <v>7460891.7470398098</v>
      </c>
      <c r="H37" s="21">
        <f t="shared" si="10"/>
        <v>4.8171926697070978E-6</v>
      </c>
      <c r="I37" s="49"/>
      <c r="J37" s="47"/>
      <c r="L37" s="18"/>
      <c r="O37" s="18"/>
      <c r="S37"/>
    </row>
    <row r="38" spans="1:19" x14ac:dyDescent="0.25">
      <c r="A38" s="45" t="s">
        <v>4</v>
      </c>
      <c r="B38" s="49">
        <v>-274633.39472059999</v>
      </c>
      <c r="C38" s="49">
        <v>9.8359699999999997</v>
      </c>
      <c r="D38" s="21">
        <v>395.37</v>
      </c>
      <c r="E38" s="21">
        <f t="shared" si="2"/>
        <v>11853192600000</v>
      </c>
      <c r="F38" s="21">
        <f t="shared" ref="F38:F46" si="12">((p*E38)/(k*t))</f>
        <v>2.0826022500912029</v>
      </c>
      <c r="G38" s="21">
        <f t="shared" si="3"/>
        <v>8.0253256697358335</v>
      </c>
      <c r="H38" s="21">
        <f t="shared" ref="H38:H46" si="13">(gas*t*((F38)/((G38)-1)))/1000</f>
        <v>0.67324906608900892</v>
      </c>
      <c r="I38" s="49">
        <f>SUM(H38:H46)</f>
        <v>2.6255314534323921</v>
      </c>
      <c r="J38" s="49">
        <f>((3)*gas*t)/1000</f>
        <v>6.8132942033174997</v>
      </c>
      <c r="L38" s="18"/>
      <c r="O38" s="18"/>
      <c r="S38"/>
    </row>
    <row r="39" spans="1:19" x14ac:dyDescent="0.25">
      <c r="A39" s="46"/>
      <c r="B39" s="49"/>
      <c r="C39" s="49"/>
      <c r="D39" s="21">
        <v>395.63</v>
      </c>
      <c r="E39" s="21">
        <f t="shared" si="2"/>
        <v>11860987400000</v>
      </c>
      <c r="F39" s="21">
        <f t="shared" si="12"/>
        <v>2.083971794024793</v>
      </c>
      <c r="G39" s="21">
        <f t="shared" si="3"/>
        <v>8.036324235612371</v>
      </c>
      <c r="H39" s="21">
        <f t="shared" si="13"/>
        <v>0.67263874662680223</v>
      </c>
      <c r="I39" s="49"/>
      <c r="J39" s="46"/>
      <c r="L39" s="18"/>
      <c r="O39" s="18"/>
      <c r="S39"/>
    </row>
    <row r="40" spans="1:19" x14ac:dyDescent="0.25">
      <c r="A40" s="46"/>
      <c r="B40" s="49"/>
      <c r="C40" s="49"/>
      <c r="D40" s="21">
        <v>569.73</v>
      </c>
      <c r="E40" s="21">
        <f>D40*29980000000</f>
        <v>17080505400000</v>
      </c>
      <c r="F40" s="21">
        <f t="shared" si="12"/>
        <v>3.0010394818637249</v>
      </c>
      <c r="G40" s="21">
        <f t="shared" si="3"/>
        <v>20.106426329741172</v>
      </c>
      <c r="H40" s="21">
        <f t="shared" si="13"/>
        <v>0.35672055312407652</v>
      </c>
      <c r="I40" s="49"/>
      <c r="J40" s="46"/>
      <c r="L40" s="18"/>
      <c r="O40" s="18"/>
      <c r="S40"/>
    </row>
    <row r="41" spans="1:19" x14ac:dyDescent="0.25">
      <c r="A41" s="46"/>
      <c r="B41" s="49"/>
      <c r="C41" s="49"/>
      <c r="D41" s="21">
        <v>571.41</v>
      </c>
      <c r="E41" s="21">
        <f t="shared" si="2"/>
        <v>17130871800000</v>
      </c>
      <c r="F41" s="21">
        <f t="shared" si="12"/>
        <v>3.0098888426653869</v>
      </c>
      <c r="G41" s="21">
        <f t="shared" si="3"/>
        <v>20.285144957269448</v>
      </c>
      <c r="H41" s="21">
        <f t="shared" si="13"/>
        <v>0.35445690192806456</v>
      </c>
      <c r="I41" s="49"/>
      <c r="J41" s="46"/>
      <c r="L41" s="18"/>
      <c r="O41" s="18"/>
      <c r="S41"/>
    </row>
    <row r="42" spans="1:19" x14ac:dyDescent="0.25">
      <c r="A42" s="46"/>
      <c r="B42" s="49"/>
      <c r="C42" s="49"/>
      <c r="D42" s="21">
        <v>572.82000000000005</v>
      </c>
      <c r="E42" s="21">
        <f t="shared" si="2"/>
        <v>17173143600000.002</v>
      </c>
      <c r="F42" s="21">
        <f t="shared" si="12"/>
        <v>3.0173159847667828</v>
      </c>
      <c r="G42" s="21">
        <f t="shared" si="3"/>
        <v>20.436366488168815</v>
      </c>
      <c r="H42" s="21">
        <f t="shared" si="13"/>
        <v>0.35256695262636673</v>
      </c>
      <c r="I42" s="49"/>
      <c r="J42" s="46"/>
    </row>
    <row r="43" spans="1:19" x14ac:dyDescent="0.25">
      <c r="A43" s="46"/>
      <c r="B43" s="49"/>
      <c r="C43" s="49"/>
      <c r="D43" s="21">
        <v>822.21</v>
      </c>
      <c r="E43" s="21">
        <f t="shared" si="2"/>
        <v>24649855800000</v>
      </c>
      <c r="F43" s="21">
        <f t="shared" si="12"/>
        <v>4.330971990913544</v>
      </c>
      <c r="G43" s="21">
        <f t="shared" si="3"/>
        <v>76.018139612096988</v>
      </c>
      <c r="H43" s="21">
        <f t="shared" si="13"/>
        <v>0.13111578307594368</v>
      </c>
      <c r="I43" s="49"/>
      <c r="J43" s="46"/>
    </row>
    <row r="44" spans="1:19" x14ac:dyDescent="0.25">
      <c r="A44" s="46"/>
      <c r="B44" s="49"/>
      <c r="C44" s="49"/>
      <c r="D44" s="21">
        <v>1178.6400000000001</v>
      </c>
      <c r="E44" s="21">
        <f t="shared" si="2"/>
        <v>35335627200000</v>
      </c>
      <c r="F44" s="21">
        <f t="shared" si="12"/>
        <v>6.2084586995662168</v>
      </c>
      <c r="G44" s="21">
        <f t="shared" si="3"/>
        <v>496.93473499999209</v>
      </c>
      <c r="H44" s="21">
        <f t="shared" si="13"/>
        <v>2.8431197819669608E-2</v>
      </c>
      <c r="I44" s="49"/>
      <c r="J44" s="46"/>
    </row>
    <row r="45" spans="1:19" x14ac:dyDescent="0.25">
      <c r="A45" s="46"/>
      <c r="B45" s="49"/>
      <c r="C45" s="49"/>
      <c r="D45" s="21">
        <v>1180.05</v>
      </c>
      <c r="E45" s="21">
        <f t="shared" si="2"/>
        <v>35377899000000</v>
      </c>
      <c r="F45" s="21">
        <f t="shared" si="12"/>
        <v>6.2158858416676122</v>
      </c>
      <c r="G45" s="21">
        <f t="shared" si="3"/>
        <v>500.63927995355596</v>
      </c>
      <c r="H45" s="21">
        <f t="shared" si="13"/>
        <v>2.8254156330178824E-2</v>
      </c>
      <c r="I45" s="49"/>
      <c r="J45" s="46"/>
    </row>
    <row r="46" spans="1:19" x14ac:dyDescent="0.25">
      <c r="A46" s="47"/>
      <c r="B46" s="49"/>
      <c r="C46" s="49"/>
      <c r="D46" s="21">
        <v>1181.3</v>
      </c>
      <c r="E46" s="21">
        <f t="shared" si="2"/>
        <v>35415374000000</v>
      </c>
      <c r="F46" s="21">
        <f t="shared" si="12"/>
        <v>6.2224701875021822</v>
      </c>
      <c r="G46" s="21">
        <f t="shared" si="3"/>
        <v>503.9465382288077</v>
      </c>
      <c r="H46" s="21">
        <f t="shared" si="13"/>
        <v>2.8098095812281204E-2</v>
      </c>
      <c r="I46" s="49"/>
      <c r="J46" s="47"/>
    </row>
    <row r="47" spans="1:19" x14ac:dyDescent="0.25">
      <c r="A47" s="23"/>
    </row>
    <row r="54" spans="14:19" x14ac:dyDescent="0.25">
      <c r="N54"/>
      <c r="P54" s="18"/>
      <c r="Q54"/>
      <c r="R54" s="18"/>
      <c r="S54"/>
    </row>
    <row r="55" spans="14:19" x14ac:dyDescent="0.25">
      <c r="N55"/>
      <c r="P55" s="18"/>
      <c r="Q55"/>
      <c r="R55" s="18"/>
      <c r="S55"/>
    </row>
    <row r="56" spans="14:19" x14ac:dyDescent="0.25">
      <c r="N56"/>
      <c r="P56" s="18"/>
      <c r="Q56"/>
      <c r="R56" s="18"/>
      <c r="S56"/>
    </row>
    <row r="57" spans="14:19" x14ac:dyDescent="0.25">
      <c r="N57"/>
      <c r="P57" s="18"/>
      <c r="Q57"/>
      <c r="R57" s="18"/>
      <c r="S57"/>
    </row>
    <row r="58" spans="14:19" x14ac:dyDescent="0.25">
      <c r="N58"/>
      <c r="P58" s="18"/>
      <c r="Q58"/>
      <c r="R58" s="18"/>
      <c r="S58"/>
    </row>
    <row r="59" spans="14:19" x14ac:dyDescent="0.25">
      <c r="N59"/>
      <c r="P59" s="18"/>
      <c r="Q59"/>
      <c r="R59" s="18"/>
      <c r="S59"/>
    </row>
    <row r="60" spans="14:19" x14ac:dyDescent="0.25">
      <c r="N60"/>
      <c r="P60" s="18"/>
      <c r="Q60"/>
      <c r="R60" s="18"/>
      <c r="S60"/>
    </row>
  </sheetData>
  <mergeCells count="28">
    <mergeCell ref="J29:J37"/>
    <mergeCell ref="J38:J46"/>
    <mergeCell ref="A2:A10"/>
    <mergeCell ref="I29:I37"/>
    <mergeCell ref="I38:I46"/>
    <mergeCell ref="A38:A46"/>
    <mergeCell ref="A29:A37"/>
    <mergeCell ref="A11:A19"/>
    <mergeCell ref="B29:B37"/>
    <mergeCell ref="C29:C37"/>
    <mergeCell ref="B38:B46"/>
    <mergeCell ref="C38:C46"/>
    <mergeCell ref="I11:I19"/>
    <mergeCell ref="I2:I10"/>
    <mergeCell ref="B2:B10"/>
    <mergeCell ref="C2:C10"/>
    <mergeCell ref="L26:Q26"/>
    <mergeCell ref="A20:A28"/>
    <mergeCell ref="L8:P8"/>
    <mergeCell ref="M1:O1"/>
    <mergeCell ref="C11:C19"/>
    <mergeCell ref="B20:B28"/>
    <mergeCell ref="C20:C28"/>
    <mergeCell ref="I20:I28"/>
    <mergeCell ref="J11:J19"/>
    <mergeCell ref="J2:J10"/>
    <mergeCell ref="J20:J28"/>
    <mergeCell ref="B11:B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Sheet4</vt:lpstr>
      <vt:lpstr>Data PBE HCTH98</vt:lpstr>
      <vt:lpstr>Calc for enthalpy</vt:lpstr>
      <vt:lpstr>gas</vt:lpstr>
      <vt:lpstr>k</vt:lpstr>
      <vt:lpstr>p</vt:lpstr>
      <vt:lpstr>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McGuire</dc:creator>
  <cp:lastModifiedBy>Ryan McGuire</cp:lastModifiedBy>
  <dcterms:created xsi:type="dcterms:W3CDTF">2013-01-01T11:00:38Z</dcterms:created>
  <dcterms:modified xsi:type="dcterms:W3CDTF">2013-01-09T09:48:51Z</dcterms:modified>
</cp:coreProperties>
</file>