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Puchar Świata" sheetId="1" r:id="rId1"/>
    <sheet name="Drużynowy Puchar Świata" sheetId="4" r:id="rId2"/>
    <sheet name="FTT" sheetId="6" r:id="rId3"/>
    <sheet name="TCS" sheetId="5" r:id="rId4"/>
  </sheets>
  <definedNames>
    <definedName name="comp_replay.php?id_121" localSheetId="3">TCS!$A$1:$G$53</definedName>
  </definedNames>
  <calcPr calcId="145621"/>
</workbook>
</file>

<file path=xl/calcChain.xml><?xml version="1.0" encoding="utf-8"?>
<calcChain xmlns="http://schemas.openxmlformats.org/spreadsheetml/2006/main">
  <c r="F2" i="6" l="1"/>
  <c r="E22" i="1" l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53" i="1"/>
  <c r="E55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E69" i="1"/>
  <c r="E70" i="1"/>
  <c r="E71" i="1"/>
  <c r="E73" i="1"/>
  <c r="E72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G6" i="6"/>
  <c r="G5" i="6"/>
  <c r="G4" i="6"/>
  <c r="G3" i="6"/>
  <c r="G2" i="6"/>
  <c r="AA5" i="4"/>
  <c r="AA6" i="4"/>
  <c r="AA4" i="4"/>
  <c r="AA2" i="4"/>
  <c r="AA3" i="4"/>
  <c r="Z6" i="4" l="1"/>
  <c r="Z2" i="4"/>
  <c r="Z5" i="4"/>
  <c r="Z4" i="4"/>
  <c r="F4" i="6" l="1"/>
  <c r="F3" i="6"/>
  <c r="F6" i="6"/>
  <c r="F5" i="6"/>
  <c r="E5" i="6" l="1"/>
  <c r="E6" i="6"/>
  <c r="E4" i="6"/>
  <c r="E2" i="6"/>
  <c r="C6" i="6"/>
  <c r="E3" i="6"/>
  <c r="C2" i="6"/>
  <c r="C4" i="6"/>
  <c r="C5" i="6"/>
  <c r="C3" i="6"/>
  <c r="Y4" i="4"/>
  <c r="Y6" i="4"/>
  <c r="Y5" i="4"/>
  <c r="Y3" i="4"/>
  <c r="Y2" i="4" l="1"/>
  <c r="C30" i="1"/>
  <c r="F30" i="1"/>
  <c r="G30" i="1"/>
  <c r="H30" i="1"/>
  <c r="C59" i="1"/>
  <c r="F59" i="1"/>
  <c r="G59" i="1"/>
  <c r="H59" i="1"/>
  <c r="C77" i="1"/>
  <c r="F77" i="1"/>
  <c r="G77" i="1"/>
  <c r="H77" i="1"/>
  <c r="C78" i="1"/>
  <c r="F78" i="1"/>
  <c r="G78" i="1"/>
  <c r="H78" i="1"/>
  <c r="C65" i="1"/>
  <c r="F65" i="1"/>
  <c r="G65" i="1"/>
  <c r="H65" i="1"/>
  <c r="C66" i="1"/>
  <c r="F66" i="1"/>
  <c r="G66" i="1"/>
  <c r="H66" i="1"/>
  <c r="C79" i="1"/>
  <c r="F79" i="1"/>
  <c r="G79" i="1"/>
  <c r="H79" i="1"/>
  <c r="C81" i="1"/>
  <c r="F81" i="1"/>
  <c r="G81" i="1"/>
  <c r="H81" i="1"/>
  <c r="C82" i="1"/>
  <c r="F82" i="1"/>
  <c r="G82" i="1"/>
  <c r="H82" i="1"/>
  <c r="C83" i="1"/>
  <c r="F83" i="1"/>
  <c r="G83" i="1"/>
  <c r="H83" i="1"/>
  <c r="C84" i="1"/>
  <c r="F84" i="1"/>
  <c r="G84" i="1"/>
  <c r="H84" i="1"/>
  <c r="C85" i="1"/>
  <c r="F85" i="1"/>
  <c r="G85" i="1"/>
  <c r="H85" i="1"/>
  <c r="C86" i="1"/>
  <c r="F86" i="1"/>
  <c r="G86" i="1"/>
  <c r="H86" i="1"/>
  <c r="C87" i="1"/>
  <c r="F87" i="1"/>
  <c r="G87" i="1"/>
  <c r="H87" i="1"/>
  <c r="C88" i="1"/>
  <c r="F88" i="1"/>
  <c r="G88" i="1"/>
  <c r="H88" i="1"/>
  <c r="C89" i="1"/>
  <c r="F89" i="1"/>
  <c r="G89" i="1"/>
  <c r="H89" i="1"/>
  <c r="C90" i="1"/>
  <c r="F90" i="1"/>
  <c r="G90" i="1"/>
  <c r="H90" i="1"/>
  <c r="C91" i="1"/>
  <c r="F91" i="1"/>
  <c r="G91" i="1"/>
  <c r="H91" i="1"/>
  <c r="C92" i="1"/>
  <c r="F92" i="1"/>
  <c r="G92" i="1"/>
  <c r="H92" i="1"/>
  <c r="W6" i="4" l="1"/>
  <c r="W4" i="4"/>
  <c r="W5" i="4"/>
  <c r="W3" i="4"/>
  <c r="W2" i="4"/>
  <c r="C75" i="1"/>
  <c r="F75" i="1"/>
  <c r="G75" i="1"/>
  <c r="H75" i="1"/>
  <c r="C43" i="1"/>
  <c r="C68" i="1"/>
  <c r="F43" i="1"/>
  <c r="G43" i="1"/>
  <c r="H43" i="1"/>
  <c r="F68" i="1"/>
  <c r="G68" i="1"/>
  <c r="H68" i="1"/>
  <c r="V4" i="4" l="1"/>
  <c r="V5" i="4"/>
  <c r="V6" i="4"/>
  <c r="V3" i="4"/>
  <c r="V2" i="4"/>
  <c r="C3" i="1" l="1"/>
  <c r="C7" i="1"/>
  <c r="C9" i="1"/>
  <c r="C4" i="1"/>
  <c r="C6" i="1"/>
  <c r="C5" i="1"/>
  <c r="C10" i="1"/>
  <c r="C8" i="1"/>
  <c r="C12" i="1"/>
  <c r="C15" i="1"/>
  <c r="C11" i="1"/>
  <c r="C17" i="1"/>
  <c r="C13" i="1"/>
  <c r="C16" i="1"/>
  <c r="C20" i="1"/>
  <c r="C14" i="1"/>
  <c r="C21" i="1"/>
  <c r="C18" i="1"/>
  <c r="C24" i="1"/>
  <c r="C19" i="1"/>
  <c r="C28" i="1"/>
  <c r="C27" i="1"/>
  <c r="C26" i="1"/>
  <c r="C23" i="1"/>
  <c r="C29" i="1"/>
  <c r="C22" i="1"/>
  <c r="C36" i="1"/>
  <c r="C32" i="1"/>
  <c r="C33" i="1"/>
  <c r="C31" i="1"/>
  <c r="C38" i="1"/>
  <c r="C34" i="1"/>
  <c r="C37" i="1"/>
  <c r="C35" i="1"/>
  <c r="C25" i="1"/>
  <c r="C42" i="1"/>
  <c r="C47" i="1"/>
  <c r="C48" i="1"/>
  <c r="C50" i="1"/>
  <c r="C52" i="1"/>
  <c r="C54" i="1"/>
  <c r="C53" i="1"/>
  <c r="C55" i="1"/>
  <c r="C39" i="1"/>
  <c r="C45" i="1"/>
  <c r="C40" i="1"/>
  <c r="C58" i="1"/>
  <c r="C67" i="1"/>
  <c r="C44" i="1"/>
  <c r="C57" i="1"/>
  <c r="C61" i="1"/>
  <c r="C49" i="1"/>
  <c r="C41" i="1"/>
  <c r="C62" i="1"/>
  <c r="C56" i="1"/>
  <c r="C46" i="1"/>
  <c r="C69" i="1"/>
  <c r="C51" i="1"/>
  <c r="C80" i="1"/>
  <c r="C60" i="1"/>
  <c r="C63" i="1"/>
  <c r="C71" i="1"/>
  <c r="C73" i="1"/>
  <c r="C72" i="1"/>
  <c r="C70" i="1"/>
  <c r="C74" i="1"/>
  <c r="C76" i="1"/>
  <c r="C64" i="1"/>
  <c r="C2" i="1"/>
  <c r="T6" i="4"/>
  <c r="T5" i="4"/>
  <c r="T4" i="4"/>
  <c r="T2" i="4"/>
  <c r="T3" i="4"/>
  <c r="F71" i="1"/>
  <c r="G71" i="1"/>
  <c r="H71" i="1"/>
  <c r="F64" i="1"/>
  <c r="G64" i="1"/>
  <c r="H64" i="1"/>
  <c r="F69" i="1"/>
  <c r="G69" i="1"/>
  <c r="H69" i="1"/>
  <c r="F51" i="1"/>
  <c r="G51" i="1"/>
  <c r="H51" i="1"/>
  <c r="F49" i="1"/>
  <c r="G49" i="1"/>
  <c r="H49" i="1"/>
  <c r="S6" i="4" l="1"/>
  <c r="S4" i="4"/>
  <c r="S5" i="4"/>
  <c r="S2" i="4"/>
  <c r="S3" i="4"/>
  <c r="R6" i="4"/>
  <c r="R4" i="4"/>
  <c r="R5" i="4"/>
  <c r="R2" i="4"/>
  <c r="R3" i="4"/>
  <c r="F76" i="1" l="1"/>
  <c r="G76" i="1"/>
  <c r="H76" i="1"/>
  <c r="F70" i="1"/>
  <c r="G70" i="1"/>
  <c r="H70" i="1"/>
  <c r="F63" i="1"/>
  <c r="G63" i="1"/>
  <c r="H63" i="1"/>
  <c r="F46" i="1"/>
  <c r="G46" i="1"/>
  <c r="H46" i="1"/>
  <c r="Q4" i="4" l="1"/>
  <c r="Q6" i="4"/>
  <c r="Q5" i="4"/>
  <c r="Q3" i="4"/>
  <c r="Q2" i="4"/>
  <c r="O2" i="4" l="1"/>
  <c r="O4" i="4"/>
  <c r="O5" i="4"/>
  <c r="O6" i="4"/>
  <c r="O3" i="4"/>
  <c r="F74" i="1"/>
  <c r="G74" i="1"/>
  <c r="H74" i="1"/>
  <c r="F58" i="1"/>
  <c r="G58" i="1"/>
  <c r="H58" i="1"/>
  <c r="F62" i="1"/>
  <c r="G62" i="1"/>
  <c r="H62" i="1"/>
  <c r="F72" i="1"/>
  <c r="G72" i="1"/>
  <c r="H72" i="1"/>
  <c r="N2" i="4" l="1"/>
  <c r="N4" i="4"/>
  <c r="N5" i="4"/>
  <c r="N6" i="4"/>
  <c r="N3" i="4"/>
  <c r="D4" i="5" l="1"/>
  <c r="D5" i="5"/>
  <c r="D2" i="5"/>
  <c r="D17" i="5"/>
  <c r="D42" i="5"/>
  <c r="D20" i="5"/>
  <c r="D18" i="5"/>
  <c r="D19" i="5"/>
  <c r="D21" i="5"/>
  <c r="D8" i="5"/>
  <c r="D22" i="5"/>
  <c r="D34" i="5"/>
  <c r="D26" i="5"/>
  <c r="D23" i="5"/>
  <c r="D24" i="5"/>
  <c r="D25" i="5"/>
  <c r="D44" i="5"/>
  <c r="D6" i="5"/>
  <c r="D29" i="5"/>
  <c r="D7" i="5"/>
  <c r="D30" i="5"/>
  <c r="D27" i="5"/>
  <c r="D31" i="5"/>
  <c r="D28" i="5"/>
  <c r="D32" i="5"/>
  <c r="D11" i="5"/>
  <c r="D9" i="5"/>
  <c r="D10" i="5"/>
  <c r="D46" i="5"/>
  <c r="D12" i="5"/>
  <c r="D13" i="5"/>
  <c r="D47" i="5"/>
  <c r="D33" i="5"/>
  <c r="D14" i="5"/>
  <c r="D35" i="5"/>
  <c r="D48" i="5"/>
  <c r="D15" i="5"/>
  <c r="D36" i="5"/>
  <c r="D38" i="5"/>
  <c r="D40" i="5"/>
  <c r="D39" i="5"/>
  <c r="D50" i="5"/>
  <c r="D16" i="5"/>
  <c r="D45" i="5"/>
  <c r="D52" i="5"/>
  <c r="D53" i="5"/>
  <c r="D43" i="5"/>
  <c r="D55" i="5"/>
  <c r="D56" i="5"/>
  <c r="D37" i="5"/>
  <c r="D49" i="5"/>
  <c r="D59" i="5"/>
  <c r="D61" i="5"/>
  <c r="D41" i="5"/>
  <c r="D54" i="5"/>
  <c r="D57" i="5"/>
  <c r="D58" i="5"/>
  <c r="D51" i="5"/>
  <c r="D60" i="5"/>
  <c r="D62" i="5"/>
  <c r="D3" i="5"/>
  <c r="M2" i="4" l="1"/>
  <c r="M5" i="4"/>
  <c r="M4" i="4"/>
  <c r="M6" i="4"/>
  <c r="M3" i="4"/>
  <c r="L2" i="4" l="1"/>
  <c r="L6" i="4"/>
  <c r="L4" i="4"/>
  <c r="L3" i="4"/>
  <c r="L5" i="4"/>
  <c r="K2" i="4" l="1"/>
  <c r="K3" i="4"/>
  <c r="K5" i="4"/>
  <c r="K6" i="4"/>
  <c r="K4" i="4"/>
  <c r="I6" i="4" l="1"/>
  <c r="I4" i="4"/>
  <c r="I5" i="4"/>
  <c r="I3" i="4"/>
  <c r="I2" i="4"/>
  <c r="J4" i="4" l="1"/>
  <c r="J6" i="4"/>
  <c r="J5" i="4"/>
  <c r="J3" i="4"/>
  <c r="J2" i="4"/>
  <c r="F55" i="1"/>
  <c r="G55" i="1"/>
  <c r="H55" i="1"/>
  <c r="F16" i="1"/>
  <c r="G16" i="1"/>
  <c r="H16" i="1"/>
  <c r="F14" i="1"/>
  <c r="G14" i="1"/>
  <c r="H14" i="1"/>
  <c r="F54" i="1"/>
  <c r="G54" i="1"/>
  <c r="H54" i="1"/>
  <c r="F32" i="1"/>
  <c r="G32" i="1"/>
  <c r="H32" i="1"/>
  <c r="F73" i="1"/>
  <c r="G73" i="1"/>
  <c r="H73" i="1"/>
  <c r="H4" i="4" l="1"/>
  <c r="H5" i="4"/>
  <c r="H6" i="4"/>
  <c r="H2" i="4"/>
  <c r="H3" i="4"/>
  <c r="F42" i="1"/>
  <c r="G42" i="1"/>
  <c r="H42" i="1"/>
  <c r="F35" i="1"/>
  <c r="G35" i="1"/>
  <c r="H35" i="1"/>
  <c r="F13" i="1"/>
  <c r="G13" i="1"/>
  <c r="H13" i="1"/>
  <c r="F60" i="1"/>
  <c r="G60" i="1"/>
  <c r="H60" i="1"/>
  <c r="G6" i="4" l="1"/>
  <c r="G5" i="4"/>
  <c r="G4" i="4"/>
  <c r="G2" i="4"/>
  <c r="G3" i="4"/>
  <c r="F19" i="1"/>
  <c r="G19" i="1"/>
  <c r="F33" i="1"/>
  <c r="G33" i="1"/>
  <c r="F61" i="1"/>
  <c r="G61" i="1"/>
  <c r="F48" i="1"/>
  <c r="G48" i="1"/>
  <c r="F25" i="1"/>
  <c r="G25" i="1"/>
  <c r="F45" i="1"/>
  <c r="G45" i="1"/>
  <c r="F31" i="1"/>
  <c r="G31" i="1"/>
  <c r="H31" i="1"/>
  <c r="H19" i="1"/>
  <c r="H33" i="1"/>
  <c r="H61" i="1"/>
  <c r="H48" i="1"/>
  <c r="H25" i="1"/>
  <c r="H45" i="1"/>
  <c r="F3" i="1" l="1"/>
  <c r="G3" i="1"/>
  <c r="H3" i="1"/>
  <c r="F7" i="1"/>
  <c r="G7" i="1"/>
  <c r="H7" i="1"/>
  <c r="F9" i="1"/>
  <c r="G9" i="1"/>
  <c r="H9" i="1"/>
  <c r="F2" i="1"/>
  <c r="G2" i="1"/>
  <c r="H2" i="1"/>
  <c r="F8" i="1"/>
  <c r="G8" i="1"/>
  <c r="H8" i="1"/>
  <c r="F17" i="1"/>
  <c r="G17" i="1"/>
  <c r="H17" i="1"/>
  <c r="F6" i="1"/>
  <c r="G6" i="1"/>
  <c r="H6" i="1"/>
  <c r="F11" i="1"/>
  <c r="G11" i="1"/>
  <c r="H11" i="1"/>
  <c r="F36" i="1"/>
  <c r="G36" i="1"/>
  <c r="H36" i="1"/>
  <c r="F38" i="1"/>
  <c r="G38" i="1"/>
  <c r="H38" i="1"/>
  <c r="F10" i="1"/>
  <c r="G10" i="1"/>
  <c r="H10" i="1"/>
  <c r="F23" i="1"/>
  <c r="G23" i="1"/>
  <c r="H23" i="1"/>
  <c r="F12" i="1"/>
  <c r="G12" i="1"/>
  <c r="H12" i="1"/>
  <c r="F5" i="1"/>
  <c r="G5" i="1"/>
  <c r="H5" i="1"/>
  <c r="F15" i="1"/>
  <c r="G15" i="1"/>
  <c r="H15" i="1"/>
  <c r="F21" i="1"/>
  <c r="G21" i="1"/>
  <c r="H21" i="1"/>
  <c r="F27" i="1"/>
  <c r="G27" i="1"/>
  <c r="H27" i="1"/>
  <c r="F24" i="1"/>
  <c r="G24" i="1"/>
  <c r="H24" i="1"/>
  <c r="F22" i="1"/>
  <c r="G22" i="1"/>
  <c r="H22" i="1"/>
  <c r="F40" i="1"/>
  <c r="G40" i="1"/>
  <c r="H40" i="1"/>
  <c r="F34" i="1"/>
  <c r="G34" i="1"/>
  <c r="H34" i="1"/>
  <c r="F47" i="1"/>
  <c r="G47" i="1"/>
  <c r="H47" i="1"/>
  <c r="F28" i="1"/>
  <c r="G28" i="1"/>
  <c r="H28" i="1"/>
  <c r="F67" i="1"/>
  <c r="G67" i="1"/>
  <c r="H67" i="1"/>
  <c r="F20" i="1"/>
  <c r="G20" i="1"/>
  <c r="H20" i="1"/>
  <c r="F41" i="1"/>
  <c r="G41" i="1"/>
  <c r="H41" i="1"/>
  <c r="F29" i="1"/>
  <c r="G29" i="1"/>
  <c r="H29" i="1"/>
  <c r="F18" i="1"/>
  <c r="G18" i="1"/>
  <c r="H18" i="1"/>
  <c r="F56" i="1"/>
  <c r="G56" i="1"/>
  <c r="H56" i="1"/>
  <c r="F39" i="1"/>
  <c r="G39" i="1"/>
  <c r="H39" i="1"/>
  <c r="F26" i="1"/>
  <c r="G26" i="1"/>
  <c r="H26" i="1"/>
  <c r="F37" i="1"/>
  <c r="G37" i="1"/>
  <c r="H37" i="1"/>
  <c r="F44" i="1"/>
  <c r="G44" i="1"/>
  <c r="H44" i="1"/>
  <c r="F50" i="1"/>
  <c r="G50" i="1"/>
  <c r="H50" i="1"/>
  <c r="F52" i="1"/>
  <c r="G52" i="1"/>
  <c r="H52" i="1"/>
  <c r="F53" i="1"/>
  <c r="G53" i="1"/>
  <c r="H53" i="1"/>
  <c r="F57" i="1"/>
  <c r="G57" i="1"/>
  <c r="H57" i="1"/>
  <c r="F80" i="1"/>
  <c r="G80" i="1"/>
  <c r="H80" i="1"/>
  <c r="G4" i="1"/>
  <c r="F4" i="1"/>
  <c r="H4" i="1"/>
  <c r="F6" i="4" l="1"/>
  <c r="F4" i="4"/>
  <c r="F5" i="4"/>
  <c r="F3" i="4"/>
  <c r="F2" i="4"/>
  <c r="D6" i="4"/>
  <c r="D4" i="4"/>
  <c r="D5" i="4"/>
  <c r="D3" i="4"/>
  <c r="D2" i="4"/>
  <c r="C5" i="4" l="1"/>
  <c r="C6" i="4"/>
  <c r="C3" i="4"/>
  <c r="C4" i="4"/>
  <c r="C2" i="4"/>
</calcChain>
</file>

<file path=xl/connections.xml><?xml version="1.0" encoding="utf-8"?>
<connections xmlns="http://schemas.openxmlformats.org/spreadsheetml/2006/main">
  <connection id="1" name="Połączenie" type="4" refreshedVersion="4" background="1" saveData="1">
    <webPr sourceData="1" parsePre="1" consecutive="1" xl2000="1" url="http://rep.dsj24.pl/comp-replay.php?id=121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<sst xmlns="http://schemas.openxmlformats.org/spreadsheetml/2006/main" count="326" uniqueCount="178">
  <si>
    <t>Gracz</t>
  </si>
  <si>
    <t>Punkty</t>
  </si>
  <si>
    <t>Normalne</t>
  </si>
  <si>
    <t>Loty</t>
  </si>
  <si>
    <t>Duże</t>
  </si>
  <si>
    <t>25.11 - KU</t>
  </si>
  <si>
    <t>30.11 - LI</t>
  </si>
  <si>
    <t>1.12 - LI</t>
  </si>
  <si>
    <t>8.12 - PR</t>
  </si>
  <si>
    <t>9.12 - PR</t>
  </si>
  <si>
    <t>15.12 - EN</t>
  </si>
  <si>
    <t>16.12 - EN</t>
  </si>
  <si>
    <t>30.12 - LI</t>
  </si>
  <si>
    <t>1.01 - GP</t>
  </si>
  <si>
    <t>4.01 - LH</t>
  </si>
  <si>
    <t>6.01 - KP</t>
  </si>
  <si>
    <t>11.01 - ZK</t>
  </si>
  <si>
    <t>12.01 - ZK</t>
  </si>
  <si>
    <t>9.01 - ZK</t>
  </si>
  <si>
    <t>18.01 - SP</t>
  </si>
  <si>
    <t>19.01 - SP</t>
  </si>
  <si>
    <t>26.01 - VL</t>
  </si>
  <si>
    <t>27.01 - VL</t>
  </si>
  <si>
    <t>3.02 - BM</t>
  </si>
  <si>
    <t>2.02 - BM</t>
  </si>
  <si>
    <t>9.02 - WL</t>
  </si>
  <si>
    <t>10.02 - WL</t>
  </si>
  <si>
    <t>13.02 - GP</t>
  </si>
  <si>
    <t>16.02 - OB.</t>
  </si>
  <si>
    <t>17.02 - OB.</t>
  </si>
  <si>
    <t>9.03 - LH</t>
  </si>
  <si>
    <t>12.03 - KP</t>
  </si>
  <si>
    <t>15.03 - KU</t>
  </si>
  <si>
    <t>17.03 - LI</t>
  </si>
  <si>
    <t>22.03 - PL</t>
  </si>
  <si>
    <t>23.03 - PL</t>
  </si>
  <si>
    <t>24.03 - PL</t>
  </si>
  <si>
    <t>Smolarkus</t>
  </si>
  <si>
    <t>shanq</t>
  </si>
  <si>
    <t>Barti</t>
  </si>
  <si>
    <t>Domin</t>
  </si>
  <si>
    <t>Kacper</t>
  </si>
  <si>
    <t>prusio98</t>
  </si>
  <si>
    <t>Artx</t>
  </si>
  <si>
    <t>coliber</t>
  </si>
  <si>
    <t>BłażejS</t>
  </si>
  <si>
    <t>Greex</t>
  </si>
  <si>
    <t>Jericho</t>
  </si>
  <si>
    <t>Daniel</t>
  </si>
  <si>
    <t>mrintel</t>
  </si>
  <si>
    <t>Hyperlogic</t>
  </si>
  <si>
    <t>Lukasz16</t>
  </si>
  <si>
    <t>mati</t>
  </si>
  <si>
    <t>Heel</t>
  </si>
  <si>
    <t>Tom</t>
  </si>
  <si>
    <t>Radek21</t>
  </si>
  <si>
    <t>mask</t>
  </si>
  <si>
    <t>maniek25</t>
  </si>
  <si>
    <t>DiStefano</t>
  </si>
  <si>
    <t>Sławek</t>
  </si>
  <si>
    <t>Shigaru</t>
  </si>
  <si>
    <t>Marszal</t>
  </si>
  <si>
    <t>wu0a</t>
  </si>
  <si>
    <t>Daro44</t>
  </si>
  <si>
    <t>Czacha Czapa</t>
  </si>
  <si>
    <t>MajstereQ</t>
  </si>
  <si>
    <t>BartekStr</t>
  </si>
  <si>
    <t>The Cutie Mark Crusaders</t>
  </si>
  <si>
    <t>SV Villach</t>
  </si>
  <si>
    <t>Mountain Falcons</t>
  </si>
  <si>
    <t>Fragile Eagles</t>
  </si>
  <si>
    <t>CMC</t>
  </si>
  <si>
    <t>SVL</t>
  </si>
  <si>
    <t>MOU</t>
  </si>
  <si>
    <t>KRN</t>
  </si>
  <si>
    <t>FEA</t>
  </si>
  <si>
    <t>Kreatywnie Niemożliwi</t>
  </si>
  <si>
    <t>Drużyna</t>
  </si>
  <si>
    <t>Klub</t>
  </si>
  <si>
    <t>Yahoo</t>
  </si>
  <si>
    <t>Wrotki8778</t>
  </si>
  <si>
    <t>.slander.86</t>
  </si>
  <si>
    <t>Sven Hannawald</t>
  </si>
  <si>
    <t>szqdniq</t>
  </si>
  <si>
    <t>Dexter55</t>
  </si>
  <si>
    <t>Cruzzz112</t>
  </si>
  <si>
    <t>MicHu</t>
  </si>
  <si>
    <t>Rajmek</t>
  </si>
  <si>
    <t>Suma</t>
  </si>
  <si>
    <t>Lp.</t>
  </si>
  <si>
    <t>Dynasty</t>
  </si>
  <si>
    <t>Krifcok</t>
  </si>
  <si>
    <t>Robert Hrgota</t>
  </si>
  <si>
    <t>Zielukiller</t>
  </si>
  <si>
    <t>Seba</t>
  </si>
  <si>
    <t>Sebomur98</t>
  </si>
  <si>
    <t>MacKaw</t>
  </si>
  <si>
    <t>matmatrix121</t>
  </si>
  <si>
    <t>Gentelman</t>
  </si>
  <si>
    <t>SirLeon</t>
  </si>
  <si>
    <t>FraQu</t>
  </si>
  <si>
    <t>Siwy</t>
  </si>
  <si>
    <t>olo9223</t>
  </si>
  <si>
    <t>Gentleman</t>
  </si>
  <si>
    <t>sirLeon</t>
  </si>
  <si>
    <t>seba</t>
  </si>
  <si>
    <t>Damianox</t>
  </si>
  <si>
    <t>SamiDoll</t>
  </si>
  <si>
    <t>skoczekseba24</t>
  </si>
  <si>
    <t>perdso</t>
  </si>
  <si>
    <t>Squaw</t>
  </si>
  <si>
    <t>Krystian1202</t>
  </si>
  <si>
    <t>szalkos2</t>
  </si>
  <si>
    <t>Artuxiel</t>
  </si>
  <si>
    <t>fighter132</t>
  </si>
  <si>
    <t>SkiBartus1994</t>
  </si>
  <si>
    <t>Slawek</t>
  </si>
  <si>
    <t>wrotki8778</t>
  </si>
  <si>
    <t>lukasz16</t>
  </si>
  <si>
    <t>cruzzz112</t>
  </si>
  <si>
    <t>sebomur98</t>
  </si>
  <si>
    <t>gron797</t>
  </si>
  <si>
    <t>krifcok</t>
  </si>
  <si>
    <t>zielukiler</t>
  </si>
  <si>
    <t>30.12</t>
  </si>
  <si>
    <t>1.01</t>
  </si>
  <si>
    <t>4.01</t>
  </si>
  <si>
    <t>6.01</t>
  </si>
  <si>
    <t>Kamil Stoch</t>
  </si>
  <si>
    <t>karol_2001</t>
  </si>
  <si>
    <t>mipoc</t>
  </si>
  <si>
    <t>szymon037</t>
  </si>
  <si>
    <t>Smoku</t>
  </si>
  <si>
    <t>kamil15</t>
  </si>
  <si>
    <t>Ernest</t>
  </si>
  <si>
    <t>thekoks</t>
  </si>
  <si>
    <t>Bodzisio</t>
  </si>
  <si>
    <t>kj13</t>
  </si>
  <si>
    <t>Czikel</t>
  </si>
  <si>
    <t>Semen</t>
  </si>
  <si>
    <t>ansVer1989</t>
  </si>
  <si>
    <t>barton533</t>
  </si>
  <si>
    <t>matiszek12</t>
  </si>
  <si>
    <t>Daro0717</t>
  </si>
  <si>
    <t>Mikos</t>
  </si>
  <si>
    <t>mateuszsz91</t>
  </si>
  <si>
    <t>ŚIKORA</t>
  </si>
  <si>
    <t>Gracz2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</si>
  <si>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</si>
  <si>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</si>
  <si>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</si>
  <si>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</si>
  <si>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</si>
  <si>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</si>
  <si>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</si>
  <si>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</si>
  <si>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</si>
  <si>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</si>
  <si>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Kolumna11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</si>
  <si>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</si>
  <si>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</si>
  <si>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</si>
  <si>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</si>
  <si>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</si>
  <si>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</si>
  <si>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</si>
  <si>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</si>
  <si>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t>Kolumna20</t>
  </si>
  <si>
    <t>Kolumna21</t>
  </si>
  <si>
    <t>Kolumna22</t>
  </si>
  <si>
    <t>Kolumna23</t>
  </si>
  <si>
    <t>Kolumna24</t>
  </si>
  <si>
    <t>Kolumna25</t>
  </si>
  <si>
    <t>Kolumna26</t>
  </si>
  <si>
    <t>Kolumna27</t>
  </si>
  <si>
    <t>creative</t>
  </si>
  <si>
    <t>Di Stefano</t>
  </si>
  <si>
    <t xml:space="preserve">SkiBartus1994
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</si>
</sst>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d\ mmm;@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rgb="FFFFFF00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scheme val="minor"/>
    </font>
    <font>
      <b/>
      <sz val="11"/>
      <color theme="0" tint="-0.14999847407452621"/>
      <name val="Arial"/>
      <family val="2"/>
      <charset val="238"/>
    </font>
    <font>
      <b/>
      <sz val="11"/>
      <color theme="0" tint="-0.14999847407452621"/>
      <name val="Verdana"/>
      <family val="2"/>
      <charset val="238"/>
    </font>
    <font>
      <b/>
      <sz val="11"/>
      <color theme="0" tint="-0.14999847407452621"/>
      <name val="Arial"/>
    </font>
  </fonts>
  <fills count="5">
    <fill>
      <patternFill patternType="none"/>
    </fill>
    <fill>
      <patternFill patternType="gray125"/>
    </fill>
    <fill>
      <gradientFill degree="90">
        <stop position="0">
          <color theme="8" tint="-0.25098422193060094"/>
        </stop>
        <stop position="1">
          <color theme="8" tint="-0.49803155613879818"/>
        </stop>
      </gradientFill>
    </fill>
    <fill>
      <patternFill patternType="solid">
        <fgColor theme="6" tint="0.79998168889431442"/>
        <bgColor auto="1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6" fillId="4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110"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Verdana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Verdana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Verdana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Verdana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Verdana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solid">
          <fgColor indexed="64"/>
          <bgColor theme="0" tint="-4.9989318521683403E-2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numFmt numFmtId="165" formatCode="0.0"/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numFmt numFmtId="164" formatCode="[$-415]d\ mmm;@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numFmt numFmtId="164" formatCode="[$-415]d\ mm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numFmt numFmtId="0" formatCode="General"/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numFmt numFmtId="0" formatCode="General"/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0" tint="-0.14999847407452621"/>
      </font>
      <numFmt numFmtId="164" formatCode="[$-415]d\ mmm;@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numFmt numFmtId="164" formatCode="[$-415]d\ mm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auto="1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auto="1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auto="1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numFmt numFmtId="0" formatCode="General"/>
      <fill>
        <patternFill patternType="none">
          <fgColor auto="1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auto="1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auto="1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auto="1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fill>
        <patternFill patternType="none">
          <fgColor auto="1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Arial"/>
        <scheme val="none"/>
      </font>
      <numFmt numFmtId="164" formatCode="[$-415]d\ mm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FF00"/>
        <name val="Verdana"/>
        <scheme val="none"/>
      </font>
      <numFmt numFmtId="164" formatCode="[$-415]d\ mmm;@"/>
      <fill>
        <patternFill patternType="none">
          <fgColor auto="1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Medium9"/>
  <colors>
    <mruColors>
      <color rgb="FFD2A578"/>
      <color rgb="FFFFE57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comp-replay.php?id=121" connectionId="1" autoFormatId="16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ela1" displayName="Tabela1" ref="A1:AH93" totalsRowShown="0" headerRowDxfId="109" dataDxfId="108">
  <sortState ref="A2:AH93">
    <sortCondition descending="1" ref="H2:H93"/>
  </sortState>
  <tableColumns count="34">
    <tableColumn id="1" name="Lp." dataDxfId="107"/>
    <tableColumn id="2" name="Gracz" dataDxfId="106"/>
    <tableColumn id="3" name="Gracz2" dataDxfId="105">
      <calculatedColumnFormula>CONCATENATE("[pr ", B2,"]")</calculatedColumnFormula>
    </tableColumn>
    <tableColumn id="4" name="Klub" dataDxfId="104"/>
    <tableColumn id="5" name="Normalne" dataDxfId="103">
      <calculatedColumnFormula>J2+K2+S2+W2</calculatedColumnFormula>
    </tableColumn>
    <tableColumn id="6" name="Duże" dataDxfId="102">
      <calculatedColumnFormula>I2+L2+M2+N2+O2+P2+Q2+R2+T2+U2+V2+Z2+AA2+AC2+AD2+AE2+AF2</calculatedColumnFormula>
    </tableColumn>
    <tableColumn id="7" name="Loty" dataDxfId="101">
      <calculatedColumnFormula>X2+Y2+AB2+AG2+AH2</calculatedColumnFormula>
    </tableColumn>
    <tableColumn id="8" name="Suma" dataDxfId="100">
      <calculatedColumnFormula>SUM(I2:AG2)</calculatedColumnFormula>
    </tableColumn>
    <tableColumn id="9" name="25.11 - KU" dataDxfId="99"/>
    <tableColumn id="10" name="1.12 - LI" dataDxfId="98"/>
    <tableColumn id="11" name="8.12 - PR" dataDxfId="97"/>
    <tableColumn id="12" name="9.12 - PR" dataDxfId="96"/>
    <tableColumn id="13" name="15.12 - EN" dataDxfId="95"/>
    <tableColumn id="14" name="16.12 - EN" dataDxfId="94"/>
    <tableColumn id="15" name="30.12 - LI" dataDxfId="93"/>
    <tableColumn id="16" name="1.01 - GP" dataDxfId="92"/>
    <tableColumn id="17" name="4.01 - LH" dataDxfId="91"/>
    <tableColumn id="18" name="6.01 - KP" dataDxfId="90"/>
    <tableColumn id="19" name="9.01 - ZK" dataDxfId="89"/>
    <tableColumn id="20" name="12.01 - ZK" dataDxfId="88"/>
    <tableColumn id="21" name="18.01 - SP" dataDxfId="87"/>
    <tableColumn id="22" name="19.01 - SP" dataDxfId="86"/>
    <tableColumn id="23" name="26.01 - VL" dataDxfId="85"/>
    <tableColumn id="24" name="2.02 - BM" dataDxfId="84"/>
    <tableColumn id="25" name="3.02 - BM" dataDxfId="83"/>
    <tableColumn id="26" name="10.02 - WL" dataDxfId="82"/>
    <tableColumn id="27" name="13.02 - GP" dataDxfId="81"/>
    <tableColumn id="28" name="16.02 - OB." dataDxfId="80"/>
    <tableColumn id="29" name="9.03 - LH" dataDxfId="79"/>
    <tableColumn id="30" name="12.03 - KP" dataDxfId="78"/>
    <tableColumn id="31" name="15.03 - KU" dataDxfId="77"/>
    <tableColumn id="32" name="17.03 - LI" dataDxfId="76"/>
    <tableColumn id="33" name="22.03 - PL" dataDxfId="75"/>
    <tableColumn id="34" name="24.03 - PL" dataDxfId="74"/>
  </tableColumns>
  <tableStyleInfo name="TableStyleDark6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A1:AI6" totalsRowShown="0" headerRowDxfId="73" dataDxfId="72">
  <sortState ref="A2:AI6">
    <sortCondition descending="1" ref="C2:C6"/>
  </sortState>
  <tableColumns count="35">
    <tableColumn id="1" name="Lp." dataDxfId="71"/>
    <tableColumn id="2" name="Drużyna" dataDxfId="70"/>
    <tableColumn id="3" name="Punkty" dataDxfId="69">
      <calculatedColumnFormula>SUM(D2:AI2)</calculatedColumnFormula>
    </tableColumn>
    <tableColumn id="4" name="25.11 - KU" dataDxfId="68"/>
    <tableColumn id="5" name="30.11 - LI" dataDxfId="67"/>
    <tableColumn id="6" name="1.12 - LI" dataDxfId="66"/>
    <tableColumn id="7" name="8.12 - PR" dataDxfId="65"/>
    <tableColumn id="8" name="9.12 - PR" dataDxfId="64"/>
    <tableColumn id="9" name="15.12 - EN" dataDxfId="63"/>
    <tableColumn id="10" name="16.12 - EN" dataDxfId="62"/>
    <tableColumn id="11" name="30.12 - LI" dataDxfId="61"/>
    <tableColumn id="12" name="1.01 - GP" dataDxfId="60"/>
    <tableColumn id="13" name="4.01 - LH" dataDxfId="59"/>
    <tableColumn id="14" name="6.01 - KP" dataDxfId="58"/>
    <tableColumn id="15" name="9.01 - ZK" dataDxfId="57"/>
    <tableColumn id="16" name="11.01 - ZK" dataDxfId="56"/>
    <tableColumn id="17" name="12.01 - ZK" dataDxfId="55"/>
    <tableColumn id="18" name="18.01 - SP" dataDxfId="54"/>
    <tableColumn id="19" name="19.01 - SP" dataDxfId="53"/>
    <tableColumn id="20" name="26.01 - VL" dataDxfId="52"/>
    <tableColumn id="21" name="27.01 - VL" dataDxfId="51"/>
    <tableColumn id="22" name="2.02 - BM" dataDxfId="50"/>
    <tableColumn id="23" name="3.02 - BM" dataDxfId="49"/>
    <tableColumn id="24" name="9.02 - WL" dataDxfId="48"/>
    <tableColumn id="25" name="10.02 - WL" dataDxfId="47"/>
    <tableColumn id="26" name="13.02 - GP" dataDxfId="46"/>
    <tableColumn id="27" name="16.02 - OB." dataDxfId="45">
      <calculatedColumnFormula>100+32+22</calculatedColumnFormula>
    </tableColumn>
    <tableColumn id="28" name="17.02 - OB." dataDxfId="44"/>
    <tableColumn id="29" name="9.03 - LH" dataDxfId="43"/>
    <tableColumn id="30" name="12.03 - KP" dataDxfId="42"/>
    <tableColumn id="31" name="15.03 - KU" dataDxfId="41"/>
    <tableColumn id="32" name="17.03 - LI" dataDxfId="40"/>
    <tableColumn id="33" name="22.03 - PL" dataDxfId="39"/>
    <tableColumn id="34" name="23.03 - PL" dataDxfId="38"/>
    <tableColumn id="35" name="24.03 - PL" dataDxfId="37"/>
  </tableColumns>
  <tableStyleInfo name="TableStyleDark6" showFirstColumn="0" showLastColumn="0" showRowStripes="1" showColumnStripes="0"/>
</table>
</file>

<file path=xl/tables/table3.xml><?xml version="1.0" encoding="utf-8"?>
<table xmlns="http://schemas.openxmlformats.org/spreadsheetml/2006/main" id="3" name="Tabela24" displayName="Tabela24" ref="A1:AI6" totalsRowShown="0" headerRowDxfId="36" dataDxfId="35">
  <sortState ref="A2:AI6">
    <sortCondition descending="1" ref="C2:C6"/>
  </sortState>
  <tableColumns count="35">
    <tableColumn id="1" name="Lp." dataDxfId="34"/>
    <tableColumn id="2" name="Drużyna" dataDxfId="33"/>
    <tableColumn id="3" name="Punkty" dataDxfId="32">
      <calculatedColumnFormula>SUM(D2:H2)</calculatedColumnFormula>
    </tableColumn>
    <tableColumn id="4" name="9.02 - WL" dataDxfId="31"/>
    <tableColumn id="5" name="10.02 - WL" dataDxfId="30">
      <calculatedColumnFormula>161.2+158.6</calculatedColumnFormula>
    </tableColumn>
    <tableColumn id="6" name="13.02 - GP" dataDxfId="29">
      <calculatedColumnFormula>156.3+154.5</calculatedColumnFormula>
    </tableColumn>
    <tableColumn id="7" name="16.02 - OB." dataDxfId="28">
      <calculatedColumnFormula>229.2+226</calculatedColumnFormula>
    </tableColumn>
    <tableColumn id="8" name="17.02 - OB." dataDxfId="27"/>
    <tableColumn id="9" name="Kolumna1" dataDxfId="26"/>
    <tableColumn id="10" name="Kolumna2" dataDxfId="25"/>
    <tableColumn id="11" name="Kolumna3" dataDxfId="24"/>
    <tableColumn id="12" name="Kolumna4" dataDxfId="23"/>
    <tableColumn id="13" name="Kolumna5" dataDxfId="22"/>
    <tableColumn id="14" name="Kolumna6" dataDxfId="21"/>
    <tableColumn id="15" name="Kolumna7" dataDxfId="20"/>
    <tableColumn id="16" name="Kolumna8" dataDxfId="19"/>
    <tableColumn id="17" name="Kolumna9" dataDxfId="18"/>
    <tableColumn id="18" name="Kolumna10" dataDxfId="17"/>
    <tableColumn id="19" name="Kolumna11" dataDxfId="16"/>
    <tableColumn id="20" name="Kolumna12" dataDxfId="15"/>
    <tableColumn id="21" name="Kolumna13" dataDxfId="14"/>
    <tableColumn id="22" name="Kolumna14" dataDxfId="13"/>
    <tableColumn id="23" name="Kolumna15" dataDxfId="12"/>
    <tableColumn id="24" name="Kolumna16" dataDxfId="11"/>
    <tableColumn id="25" name="Kolumna17" dataDxfId="10"/>
    <tableColumn id="26" name="Kolumna18" dataDxfId="9"/>
    <tableColumn id="27" name="Kolumna19" dataDxfId="8"/>
    <tableColumn id="28" name="Kolumna20" dataDxfId="7"/>
    <tableColumn id="29" name="Kolumna21" dataDxfId="6"/>
    <tableColumn id="30" name="Kolumna22" dataDxfId="5"/>
    <tableColumn id="31" name="Kolumna23" dataDxfId="4"/>
    <tableColumn id="32" name="Kolumna24" dataDxfId="3"/>
    <tableColumn id="33" name="Kolumna25" dataDxfId="2"/>
    <tableColumn id="34" name="Kolumna26" dataDxfId="1"/>
    <tableColumn id="35" name="Kolumna27" dataDxfId="0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01"/>
  <sheetViews>
    <sheetView tabSelected="1" zoomScale="90" zoomScaleNormal="90" workbookViewId="0">
      <pane xSplit="4" topLeftCell="L1" activePane="topRight" state="frozen"/>
      <selection pane="topRight" activeCell="L52" sqref="L52"/>
    </sheetView>
  </sheetViews>
  <sheetFormatPr defaultColWidth="15.7109375" defaultRowHeight="14.25" customHeight="1" x14ac:dyDescent="0.25"/>
  <cols>
    <col min="1" max="1" width="6.28515625" style="2" customWidth="1"/>
    <col min="2" max="3" width="25.7109375" style="8" customWidth="1"/>
    <col min="4" max="10" width="15.7109375" style="2" customWidth="1"/>
    <col min="11" max="19" width="15.7109375" style="2"/>
    <col min="20" max="21" width="15.7109375" style="2" customWidth="1"/>
    <col min="22" max="24" width="15.7109375" style="2"/>
    <col min="25" max="26" width="15.7109375" style="2" customWidth="1"/>
    <col min="27" max="27" width="15.7109375" style="2"/>
    <col min="28" max="29" width="15.7109375" style="2" customWidth="1"/>
    <col min="30" max="31" width="15.7109375" style="2"/>
    <col min="32" max="32" width="15.7109375" style="2" customWidth="1"/>
    <col min="33" max="36" width="15.7109375" style="2"/>
    <col min="37" max="37" width="15.7109375" style="2" customWidth="1"/>
    <col min="38" max="38" width="15.7109375" style="7"/>
    <col min="39" max="39" width="15.7109375" style="2" customWidth="1"/>
    <col min="40" max="16384" width="15.7109375" style="2"/>
  </cols>
  <sheetData>
    <row r="1" spans="1:100" ht="14.25" customHeight="1" x14ac:dyDescent="0.25">
      <c r="A1" s="13" t="s">
        <v>89</v>
      </c>
      <c r="B1" s="13" t="s">
        <v>0</v>
      </c>
      <c r="C1" s="13" t="s">
        <v>147</v>
      </c>
      <c r="D1" s="13" t="s">
        <v>78</v>
      </c>
      <c r="E1" s="14" t="s">
        <v>2</v>
      </c>
      <c r="F1" s="14" t="s">
        <v>4</v>
      </c>
      <c r="G1" s="14" t="s">
        <v>3</v>
      </c>
      <c r="H1" s="15" t="s">
        <v>88</v>
      </c>
      <c r="I1" s="14" t="s">
        <v>5</v>
      </c>
      <c r="J1" s="14" t="s">
        <v>7</v>
      </c>
      <c r="K1" s="14" t="s">
        <v>8</v>
      </c>
      <c r="L1" s="14" t="s">
        <v>9</v>
      </c>
      <c r="M1" s="14" t="s">
        <v>10</v>
      </c>
      <c r="N1" s="14" t="s">
        <v>11</v>
      </c>
      <c r="O1" s="14" t="s">
        <v>12</v>
      </c>
      <c r="P1" s="14" t="s">
        <v>13</v>
      </c>
      <c r="Q1" s="14" t="s">
        <v>14</v>
      </c>
      <c r="R1" s="14" t="s">
        <v>15</v>
      </c>
      <c r="S1" s="14" t="s">
        <v>18</v>
      </c>
      <c r="T1" s="14" t="s">
        <v>17</v>
      </c>
      <c r="U1" s="14" t="s">
        <v>19</v>
      </c>
      <c r="V1" s="14" t="s">
        <v>20</v>
      </c>
      <c r="W1" s="14" t="s">
        <v>21</v>
      </c>
      <c r="X1" s="14" t="s">
        <v>24</v>
      </c>
      <c r="Y1" s="14" t="s">
        <v>23</v>
      </c>
      <c r="Z1" s="14" t="s">
        <v>26</v>
      </c>
      <c r="AA1" s="14" t="s">
        <v>27</v>
      </c>
      <c r="AB1" s="14" t="s">
        <v>28</v>
      </c>
      <c r="AC1" s="14" t="s">
        <v>30</v>
      </c>
      <c r="AD1" s="14" t="s">
        <v>31</v>
      </c>
      <c r="AE1" s="14" t="s">
        <v>32</v>
      </c>
      <c r="AF1" s="14" t="s">
        <v>33</v>
      </c>
      <c r="AG1" s="14" t="s">
        <v>34</v>
      </c>
      <c r="AH1" s="14" t="s">
        <v>36</v>
      </c>
      <c r="AM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</row>
    <row r="2" spans="1:100" ht="14.25" customHeight="1" x14ac:dyDescent="0.25">
      <c r="A2" s="16">
        <v>2</v>
      </c>
      <c r="B2" s="16" t="s">
        <v>45</v>
      </c>
      <c r="C2" s="16" t="str">
        <f>CONCATENATE("[pr ", B2,"]")</f>
        <v>[pr BłażejS]</v>
      </c>
      <c r="D2" s="16" t="s">
        <v>71</v>
      </c>
      <c r="E2" s="16">
        <f>J2+K2+S2+W2</f>
        <v>265</v>
      </c>
      <c r="F2" s="16">
        <f>I2+L2+M2+N2+O2+P2+Q2+R2+T2+U2+V2+Z2+AA2+AC2+AD2+AE2+AF2</f>
        <v>884</v>
      </c>
      <c r="G2" s="16">
        <f>X2+Y2+AB2+AG2+AH2</f>
        <v>130</v>
      </c>
      <c r="H2" s="17">
        <f>SUM(I2:AG2)</f>
        <v>1279</v>
      </c>
      <c r="I2" s="16">
        <v>29</v>
      </c>
      <c r="J2" s="16">
        <v>45</v>
      </c>
      <c r="K2" s="16">
        <v>60</v>
      </c>
      <c r="L2" s="16">
        <v>80</v>
      </c>
      <c r="M2" s="16">
        <v>100</v>
      </c>
      <c r="N2" s="16">
        <v>80</v>
      </c>
      <c r="O2" s="16">
        <v>100</v>
      </c>
      <c r="P2" s="16">
        <v>100</v>
      </c>
      <c r="Q2" s="16">
        <v>50</v>
      </c>
      <c r="R2" s="16">
        <v>45</v>
      </c>
      <c r="S2" s="16">
        <v>60</v>
      </c>
      <c r="T2" s="16">
        <v>60</v>
      </c>
      <c r="U2" s="16">
        <v>80</v>
      </c>
      <c r="V2" s="16">
        <v>50</v>
      </c>
      <c r="W2" s="16">
        <v>100</v>
      </c>
      <c r="X2" s="16">
        <v>80</v>
      </c>
      <c r="Y2" s="16">
        <v>50</v>
      </c>
      <c r="Z2" s="16">
        <v>50</v>
      </c>
      <c r="AA2" s="16">
        <v>60</v>
      </c>
      <c r="AB2" s="16"/>
      <c r="AC2" s="16"/>
      <c r="AD2" s="16"/>
      <c r="AE2" s="16"/>
      <c r="AF2" s="16"/>
      <c r="AG2" s="16"/>
      <c r="AH2" s="16"/>
    </row>
    <row r="3" spans="1:100" ht="14.25" customHeight="1" x14ac:dyDescent="0.25">
      <c r="A3" s="16">
        <v>1</v>
      </c>
      <c r="B3" s="16" t="s">
        <v>38</v>
      </c>
      <c r="C3" s="16" t="str">
        <f>CONCATENATE("[pr ", B3,"]")</f>
        <v>[pr shanq]</v>
      </c>
      <c r="D3" s="16" t="s">
        <v>72</v>
      </c>
      <c r="E3" s="16">
        <f>J3+K3+S3+W3</f>
        <v>290</v>
      </c>
      <c r="F3" s="16">
        <f>I3+L3+M3+N3+O3+P3+Q3+R3+T3+U3+V3+Z3+AA3+AC3+AD3+AE3+AF3</f>
        <v>758</v>
      </c>
      <c r="G3" s="16">
        <f>X3+Y3+AB3+AG3+AH3</f>
        <v>160</v>
      </c>
      <c r="H3" s="17">
        <f>SUM(I3:AG3)</f>
        <v>1208</v>
      </c>
      <c r="I3" s="16">
        <v>100</v>
      </c>
      <c r="J3" s="16">
        <v>80</v>
      </c>
      <c r="K3" s="16">
        <v>100</v>
      </c>
      <c r="L3" s="16">
        <v>22</v>
      </c>
      <c r="M3" s="16">
        <v>80</v>
      </c>
      <c r="N3" s="16">
        <v>100</v>
      </c>
      <c r="O3" s="16">
        <v>40</v>
      </c>
      <c r="P3" s="16">
        <v>50</v>
      </c>
      <c r="Q3" s="16">
        <v>100</v>
      </c>
      <c r="R3" s="16">
        <v>100</v>
      </c>
      <c r="S3" s="16">
        <v>60</v>
      </c>
      <c r="T3" s="16">
        <v>80</v>
      </c>
      <c r="U3" s="16">
        <v>26</v>
      </c>
      <c r="V3" s="16">
        <v>15</v>
      </c>
      <c r="W3" s="16">
        <v>50</v>
      </c>
      <c r="X3" s="16">
        <v>24</v>
      </c>
      <c r="Y3" s="16">
        <v>36</v>
      </c>
      <c r="Z3" s="16">
        <v>45</v>
      </c>
      <c r="AA3" s="16"/>
      <c r="AB3" s="16">
        <v>100</v>
      </c>
      <c r="AC3" s="16"/>
      <c r="AD3" s="16"/>
      <c r="AE3" s="16"/>
      <c r="AF3" s="16"/>
      <c r="AG3" s="16"/>
      <c r="AH3" s="16"/>
    </row>
    <row r="4" spans="1:100" ht="14.25" customHeight="1" x14ac:dyDescent="0.25">
      <c r="A4" s="16">
        <v>6</v>
      </c>
      <c r="B4" s="16" t="s">
        <v>37</v>
      </c>
      <c r="C4" s="16" t="str">
        <f>CONCATENATE("[pr ", B4,"]")</f>
        <v>[pr Smolarkus]</v>
      </c>
      <c r="D4" s="16" t="s">
        <v>73</v>
      </c>
      <c r="E4" s="16">
        <f>J4+K4+S4+W4</f>
        <v>200</v>
      </c>
      <c r="F4" s="16">
        <f>I4+L4+M4+N4+O4+P4+Q4+R4+T4+U4+V4+Z4+AA4+AC4+AD4+AE4+AF4</f>
        <v>568</v>
      </c>
      <c r="G4" s="16">
        <f>X4+Y4+AB4+AG4+AH4</f>
        <v>58</v>
      </c>
      <c r="H4" s="17">
        <f>SUM(I4:AG4)</f>
        <v>826</v>
      </c>
      <c r="I4" s="16">
        <v>100</v>
      </c>
      <c r="J4" s="16">
        <v>100</v>
      </c>
      <c r="K4" s="16">
        <v>50</v>
      </c>
      <c r="L4" s="16">
        <v>100</v>
      </c>
      <c r="M4" s="16">
        <v>32</v>
      </c>
      <c r="N4" s="16">
        <v>32</v>
      </c>
      <c r="O4" s="16">
        <v>22</v>
      </c>
      <c r="P4" s="16">
        <v>6</v>
      </c>
      <c r="Q4" s="16"/>
      <c r="R4" s="16"/>
      <c r="S4" s="16"/>
      <c r="T4" s="16">
        <v>100</v>
      </c>
      <c r="U4" s="16"/>
      <c r="V4" s="16">
        <v>40</v>
      </c>
      <c r="W4" s="16">
        <v>50</v>
      </c>
      <c r="X4" s="16">
        <v>14</v>
      </c>
      <c r="Y4" s="16">
        <v>22</v>
      </c>
      <c r="Z4" s="16">
        <v>100</v>
      </c>
      <c r="AA4" s="16">
        <v>36</v>
      </c>
      <c r="AB4" s="16">
        <v>22</v>
      </c>
      <c r="AC4" s="16"/>
      <c r="AD4" s="16"/>
      <c r="AE4" s="16"/>
      <c r="AF4" s="16"/>
      <c r="AG4" s="16"/>
      <c r="AH4" s="16"/>
    </row>
    <row r="5" spans="1:100" ht="14.25" customHeight="1" x14ac:dyDescent="0.25">
      <c r="A5" s="16">
        <v>12</v>
      </c>
      <c r="B5" s="16" t="s">
        <v>44</v>
      </c>
      <c r="C5" s="16" t="str">
        <f>CONCATENATE("[pr ", B5,"]")</f>
        <v>[pr coliber]</v>
      </c>
      <c r="D5" s="16" t="s">
        <v>71</v>
      </c>
      <c r="E5" s="16">
        <f>J5+K5+S5+W5</f>
        <v>96</v>
      </c>
      <c r="F5" s="16">
        <f>I5+L5+M5+N5+O5+P5+Q5+R5+T5+U5+V5+Z5+AA5+AC5+AD5+AE5+AF5</f>
        <v>503</v>
      </c>
      <c r="G5" s="16">
        <f>X5+Y5+AB5+AG5+AH5</f>
        <v>220</v>
      </c>
      <c r="H5" s="17">
        <f>SUM(I5:AG5)</f>
        <v>819</v>
      </c>
      <c r="I5" s="16">
        <v>32</v>
      </c>
      <c r="J5" s="16">
        <v>14</v>
      </c>
      <c r="K5" s="16">
        <v>24</v>
      </c>
      <c r="L5" s="16">
        <v>18</v>
      </c>
      <c r="M5" s="16">
        <v>36</v>
      </c>
      <c r="N5" s="16">
        <v>45</v>
      </c>
      <c r="O5" s="16">
        <v>60</v>
      </c>
      <c r="P5" s="16">
        <v>16</v>
      </c>
      <c r="Q5" s="16">
        <v>50</v>
      </c>
      <c r="R5" s="16">
        <v>20</v>
      </c>
      <c r="S5" s="16">
        <v>29</v>
      </c>
      <c r="T5" s="16">
        <v>24</v>
      </c>
      <c r="U5" s="16">
        <v>22</v>
      </c>
      <c r="V5" s="16">
        <v>80</v>
      </c>
      <c r="W5" s="16">
        <v>29</v>
      </c>
      <c r="X5" s="16">
        <v>60</v>
      </c>
      <c r="Y5" s="16">
        <v>100</v>
      </c>
      <c r="Z5" s="16">
        <v>60</v>
      </c>
      <c r="AA5" s="16">
        <v>40</v>
      </c>
      <c r="AB5" s="16">
        <v>60</v>
      </c>
      <c r="AC5" s="16"/>
      <c r="AD5" s="16"/>
      <c r="AE5" s="16"/>
      <c r="AF5" s="16"/>
      <c r="AG5" s="16"/>
      <c r="AH5" s="16"/>
    </row>
    <row r="6" spans="1:100" ht="14.25" customHeight="1" x14ac:dyDescent="0.25">
      <c r="A6" s="16">
        <v>3</v>
      </c>
      <c r="B6" s="16" t="s">
        <v>48</v>
      </c>
      <c r="C6" s="16" t="str">
        <f>CONCATENATE("[pr ", B6,"]")</f>
        <v>[pr Daniel]</v>
      </c>
      <c r="D6" s="16" t="s">
        <v>75</v>
      </c>
      <c r="E6" s="16">
        <f>J6+K6+S6+W6</f>
        <v>246</v>
      </c>
      <c r="F6" s="16">
        <f>I6+L6+M6+N6+O6+P6+Q6+R6+T6+U6+V6+Z6+AA6+AC6+AD6+AE6+AF6</f>
        <v>445</v>
      </c>
      <c r="G6" s="16">
        <f>X6+Y6+AB6+AG6+AH6</f>
        <v>93</v>
      </c>
      <c r="H6" s="17">
        <f>SUM(I6:AG6)</f>
        <v>784</v>
      </c>
      <c r="I6" s="16">
        <v>26</v>
      </c>
      <c r="J6" s="16">
        <v>36</v>
      </c>
      <c r="K6" s="16">
        <v>50</v>
      </c>
      <c r="L6" s="16">
        <v>26</v>
      </c>
      <c r="M6" s="16">
        <v>22</v>
      </c>
      <c r="N6" s="16">
        <v>20</v>
      </c>
      <c r="O6" s="16">
        <v>80</v>
      </c>
      <c r="P6" s="16">
        <v>50</v>
      </c>
      <c r="Q6" s="16">
        <v>24</v>
      </c>
      <c r="R6" s="16">
        <v>20</v>
      </c>
      <c r="S6" s="16">
        <v>100</v>
      </c>
      <c r="T6" s="16">
        <v>14</v>
      </c>
      <c r="U6" s="16">
        <v>26</v>
      </c>
      <c r="V6" s="16">
        <v>15</v>
      </c>
      <c r="W6" s="16">
        <v>60</v>
      </c>
      <c r="X6" s="16">
        <v>32</v>
      </c>
      <c r="Y6" s="16">
        <v>16</v>
      </c>
      <c r="Z6" s="16">
        <v>22</v>
      </c>
      <c r="AA6" s="16">
        <v>100</v>
      </c>
      <c r="AB6" s="16">
        <v>45</v>
      </c>
      <c r="AC6" s="16"/>
      <c r="AD6" s="16"/>
      <c r="AE6" s="16"/>
      <c r="AF6" s="16"/>
      <c r="AG6" s="16"/>
      <c r="AH6" s="16"/>
    </row>
    <row r="7" spans="1:100" ht="14.25" customHeight="1" x14ac:dyDescent="0.25">
      <c r="A7" s="16">
        <v>4</v>
      </c>
      <c r="B7" s="16" t="s">
        <v>39</v>
      </c>
      <c r="C7" s="16" t="str">
        <f>CONCATENATE("[pr ", B7,"]")</f>
        <v>[pr Barti]</v>
      </c>
      <c r="D7" s="16" t="s">
        <v>74</v>
      </c>
      <c r="E7" s="16">
        <f>J7+K7+S7+W7</f>
        <v>220</v>
      </c>
      <c r="F7" s="16">
        <f>I7+L7+M7+N7+O7+P7+Q7+R7+T7+U7+V7+Z7+AA7+AC7+AD7+AE7+AF7</f>
        <v>515</v>
      </c>
      <c r="G7" s="16">
        <f>X7+Y7+AB7+AG7+AH7</f>
        <v>45</v>
      </c>
      <c r="H7" s="17">
        <f>SUM(I7:AG7)</f>
        <v>780</v>
      </c>
      <c r="I7" s="16">
        <v>60</v>
      </c>
      <c r="J7" s="16">
        <v>80</v>
      </c>
      <c r="K7" s="16">
        <v>80</v>
      </c>
      <c r="L7" s="16">
        <v>36</v>
      </c>
      <c r="M7" s="16">
        <v>40</v>
      </c>
      <c r="N7" s="16">
        <v>80</v>
      </c>
      <c r="O7" s="16">
        <v>22</v>
      </c>
      <c r="P7" s="16">
        <v>60</v>
      </c>
      <c r="Q7" s="16">
        <v>60</v>
      </c>
      <c r="R7" s="16">
        <v>12</v>
      </c>
      <c r="S7" s="16">
        <v>60</v>
      </c>
      <c r="T7" s="16">
        <v>45</v>
      </c>
      <c r="U7" s="16"/>
      <c r="V7" s="16">
        <v>100</v>
      </c>
      <c r="W7" s="16"/>
      <c r="X7" s="16"/>
      <c r="Y7" s="16"/>
      <c r="Z7" s="16"/>
      <c r="AA7" s="16"/>
      <c r="AB7" s="16">
        <v>45</v>
      </c>
      <c r="AC7" s="16"/>
      <c r="AD7" s="16"/>
      <c r="AE7" s="16"/>
      <c r="AF7" s="16"/>
      <c r="AG7" s="16"/>
      <c r="AH7" s="16"/>
    </row>
    <row r="8" spans="1:100" ht="14.25" customHeight="1" x14ac:dyDescent="0.25">
      <c r="A8" s="16">
        <v>10</v>
      </c>
      <c r="B8" s="16" t="s">
        <v>42</v>
      </c>
      <c r="C8" s="16" t="str">
        <f>CONCATENATE("[pr ", B8,"]")</f>
        <v>[pr prusio98]</v>
      </c>
      <c r="D8" s="16" t="s">
        <v>73</v>
      </c>
      <c r="E8" s="16">
        <f>J8+K8+S8+W8</f>
        <v>121</v>
      </c>
      <c r="F8" s="16">
        <f>I8+L8+M8+N8+O8+P8+Q8+R8+T8+U8+V8+Z8+AA8+AC8+AD8+AE8+AF8</f>
        <v>422</v>
      </c>
      <c r="G8" s="16">
        <f>X8+Y8+AB8+AG8+AH8</f>
        <v>230</v>
      </c>
      <c r="H8" s="17">
        <f>SUM(I8:AG8)</f>
        <v>773</v>
      </c>
      <c r="I8" s="16">
        <v>40</v>
      </c>
      <c r="J8" s="16">
        <v>26</v>
      </c>
      <c r="K8" s="16">
        <v>29</v>
      </c>
      <c r="L8" s="16">
        <v>45</v>
      </c>
      <c r="M8" s="16">
        <v>11</v>
      </c>
      <c r="N8" s="16">
        <v>24</v>
      </c>
      <c r="O8" s="16">
        <v>50</v>
      </c>
      <c r="P8" s="16">
        <v>26</v>
      </c>
      <c r="Q8" s="16">
        <v>20</v>
      </c>
      <c r="R8" s="16">
        <v>11</v>
      </c>
      <c r="S8" s="16">
        <v>16</v>
      </c>
      <c r="T8" s="16">
        <v>29</v>
      </c>
      <c r="U8" s="16">
        <v>45</v>
      </c>
      <c r="V8" s="16">
        <v>29</v>
      </c>
      <c r="W8" s="16">
        <v>50</v>
      </c>
      <c r="X8" s="16">
        <v>50</v>
      </c>
      <c r="Y8" s="16">
        <v>100</v>
      </c>
      <c r="Z8" s="16">
        <v>32</v>
      </c>
      <c r="AA8" s="16">
        <v>60</v>
      </c>
      <c r="AB8" s="16">
        <v>80</v>
      </c>
      <c r="AC8" s="16"/>
      <c r="AD8" s="16"/>
      <c r="AE8" s="16"/>
      <c r="AF8" s="16"/>
      <c r="AG8" s="16"/>
      <c r="AH8" s="16"/>
    </row>
    <row r="9" spans="1:100" ht="14.25" customHeight="1" x14ac:dyDescent="0.25">
      <c r="A9" s="16">
        <v>8</v>
      </c>
      <c r="B9" s="16" t="s">
        <v>41</v>
      </c>
      <c r="C9" s="16" t="str">
        <f>CONCATENATE("[pr ", B9,"]")</f>
        <v>[pr Kacper]</v>
      </c>
      <c r="D9" s="16" t="s">
        <v>73</v>
      </c>
      <c r="E9" s="16">
        <f>J9+K9+S9+W9</f>
        <v>164</v>
      </c>
      <c r="F9" s="16">
        <f>I9+L9+M9+N9+O9+P9+Q9+R9+T9+U9+V9+Z9+AA9+AC9+AD9+AE9+AF9</f>
        <v>573</v>
      </c>
      <c r="G9" s="16">
        <f>X9+Y9+AB9+AG9+AH9</f>
        <v>32</v>
      </c>
      <c r="H9" s="17">
        <f>SUM(I9:AG9)</f>
        <v>769</v>
      </c>
      <c r="I9" s="16">
        <v>45</v>
      </c>
      <c r="J9" s="16">
        <v>80</v>
      </c>
      <c r="K9" s="16">
        <v>29</v>
      </c>
      <c r="L9" s="16">
        <v>3</v>
      </c>
      <c r="M9" s="16">
        <v>15</v>
      </c>
      <c r="N9" s="16">
        <v>29</v>
      </c>
      <c r="O9" s="16">
        <v>50</v>
      </c>
      <c r="P9" s="16">
        <v>80</v>
      </c>
      <c r="Q9" s="16">
        <v>50</v>
      </c>
      <c r="R9" s="16">
        <v>15</v>
      </c>
      <c r="S9" s="16">
        <v>29</v>
      </c>
      <c r="T9" s="16">
        <v>45</v>
      </c>
      <c r="U9" s="16">
        <v>100</v>
      </c>
      <c r="V9" s="16">
        <v>60</v>
      </c>
      <c r="W9" s="16">
        <v>26</v>
      </c>
      <c r="X9" s="16">
        <v>8</v>
      </c>
      <c r="Y9" s="16">
        <v>14</v>
      </c>
      <c r="Z9" s="16">
        <v>36</v>
      </c>
      <c r="AA9" s="16">
        <v>45</v>
      </c>
      <c r="AB9" s="16">
        <v>10</v>
      </c>
      <c r="AC9" s="16"/>
      <c r="AD9" s="16"/>
      <c r="AE9" s="16"/>
      <c r="AF9" s="16"/>
      <c r="AG9" s="16"/>
      <c r="AH9" s="16"/>
    </row>
    <row r="10" spans="1:100" ht="14.25" customHeight="1" x14ac:dyDescent="0.25">
      <c r="A10" s="16">
        <v>5</v>
      </c>
      <c r="B10" s="16" t="s">
        <v>46</v>
      </c>
      <c r="C10" s="16" t="str">
        <f>CONCATENATE("[pr ", B10,"]")</f>
        <v>[pr Greex]</v>
      </c>
      <c r="D10" s="16" t="s">
        <v>72</v>
      </c>
      <c r="E10" s="16">
        <f>J10+K10+S10+W10</f>
        <v>208</v>
      </c>
      <c r="F10" s="16">
        <f>I10+L10+M10+N10+O10+P10+Q10+R10+T10+U10+V10+Z10+AA10+AC10+AD10+AE10+AF10</f>
        <v>356</v>
      </c>
      <c r="G10" s="16">
        <f>X10+Y10+AB10+AG10+AH10</f>
        <v>114</v>
      </c>
      <c r="H10" s="17">
        <f>SUM(I10:AG10)</f>
        <v>678</v>
      </c>
      <c r="I10" s="16">
        <v>26</v>
      </c>
      <c r="J10" s="16">
        <v>24</v>
      </c>
      <c r="K10" s="16">
        <v>24</v>
      </c>
      <c r="L10" s="16">
        <v>50</v>
      </c>
      <c r="M10" s="16">
        <v>80</v>
      </c>
      <c r="N10" s="16">
        <v>36</v>
      </c>
      <c r="O10" s="16">
        <v>36</v>
      </c>
      <c r="P10" s="16">
        <v>26</v>
      </c>
      <c r="Q10" s="16">
        <v>9</v>
      </c>
      <c r="R10" s="16">
        <v>9</v>
      </c>
      <c r="S10" s="16">
        <v>60</v>
      </c>
      <c r="T10" s="16">
        <v>9</v>
      </c>
      <c r="U10" s="16"/>
      <c r="V10" s="16">
        <v>6</v>
      </c>
      <c r="W10" s="16">
        <v>100</v>
      </c>
      <c r="X10" s="16">
        <v>32</v>
      </c>
      <c r="Y10" s="16">
        <v>50</v>
      </c>
      <c r="Z10" s="16">
        <v>40</v>
      </c>
      <c r="AA10" s="16">
        <v>29</v>
      </c>
      <c r="AB10" s="16">
        <v>32</v>
      </c>
      <c r="AC10" s="16"/>
      <c r="AD10" s="16"/>
      <c r="AE10" s="16"/>
      <c r="AF10" s="16"/>
      <c r="AG10" s="16"/>
      <c r="AH10" s="16"/>
    </row>
    <row r="11" spans="1:100" ht="14.25" customHeight="1" x14ac:dyDescent="0.25">
      <c r="A11" s="16">
        <v>14</v>
      </c>
      <c r="B11" s="16" t="s">
        <v>50</v>
      </c>
      <c r="C11" s="16" t="str">
        <f>CONCATENATE("[pr ", B11,"]")</f>
        <v>[pr Hyperlogic]</v>
      </c>
      <c r="D11" s="16" t="s">
        <v>75</v>
      </c>
      <c r="E11" s="16">
        <f>J11+K11+S11+W11</f>
        <v>91</v>
      </c>
      <c r="F11" s="16">
        <f>I11+L11+M11+N11+O11+P11+Q11+R11+T11+U11+V11+Z11+AA11+AC11+AD11+AE11+AF11</f>
        <v>301</v>
      </c>
      <c r="G11" s="16">
        <f>X11+Y11+AB11+AG11+AH11</f>
        <v>195</v>
      </c>
      <c r="H11" s="17">
        <f>SUM(I11:AG11)</f>
        <v>587</v>
      </c>
      <c r="I11" s="16">
        <v>18</v>
      </c>
      <c r="J11" s="16">
        <v>36</v>
      </c>
      <c r="K11" s="16">
        <v>24</v>
      </c>
      <c r="L11" s="16">
        <v>24</v>
      </c>
      <c r="M11" s="16">
        <v>26</v>
      </c>
      <c r="N11" s="16">
        <v>24</v>
      </c>
      <c r="O11" s="16">
        <v>5</v>
      </c>
      <c r="P11" s="16">
        <v>26</v>
      </c>
      <c r="Q11" s="16">
        <v>32</v>
      </c>
      <c r="R11" s="16">
        <v>32</v>
      </c>
      <c r="S11" s="16">
        <v>16</v>
      </c>
      <c r="T11" s="16">
        <v>50</v>
      </c>
      <c r="U11" s="16">
        <v>22</v>
      </c>
      <c r="V11" s="16">
        <v>29</v>
      </c>
      <c r="W11" s="16">
        <v>15</v>
      </c>
      <c r="X11" s="16">
        <v>45</v>
      </c>
      <c r="Y11" s="16">
        <v>100</v>
      </c>
      <c r="Z11" s="16">
        <v>13</v>
      </c>
      <c r="AA11" s="16"/>
      <c r="AB11" s="16">
        <v>50</v>
      </c>
      <c r="AC11" s="16"/>
      <c r="AD11" s="16"/>
      <c r="AE11" s="16"/>
      <c r="AF11" s="16"/>
      <c r="AG11" s="16"/>
      <c r="AH11" s="16"/>
    </row>
    <row r="12" spans="1:100" ht="14.25" customHeight="1" x14ac:dyDescent="0.25">
      <c r="A12" s="16">
        <v>7</v>
      </c>
      <c r="B12" s="16" t="s">
        <v>49</v>
      </c>
      <c r="C12" s="16" t="str">
        <f>CONCATENATE("[pr ", B12,"]")</f>
        <v>[pr mrintel]</v>
      </c>
      <c r="D12" s="16" t="s">
        <v>75</v>
      </c>
      <c r="E12" s="16">
        <f>J12+K12+S12+W12</f>
        <v>172</v>
      </c>
      <c r="F12" s="16">
        <f>I12+L12+M12+N12+O12+P12+Q12+R12+T12+U12+V12+Z12+AA12+AC12+AD12+AE12+AF12</f>
        <v>303</v>
      </c>
      <c r="G12" s="16">
        <f>X12+Y12+AB12+AG12+AH12</f>
        <v>78</v>
      </c>
      <c r="H12" s="17">
        <f>SUM(I12:AG12)</f>
        <v>553</v>
      </c>
      <c r="I12" s="16">
        <v>26</v>
      </c>
      <c r="J12" s="16">
        <v>36</v>
      </c>
      <c r="K12" s="16">
        <v>36</v>
      </c>
      <c r="L12" s="16">
        <v>29</v>
      </c>
      <c r="M12" s="16">
        <v>22</v>
      </c>
      <c r="N12" s="16">
        <v>20</v>
      </c>
      <c r="O12" s="16">
        <v>24</v>
      </c>
      <c r="P12" s="16">
        <v>13</v>
      </c>
      <c r="Q12" s="16">
        <v>3</v>
      </c>
      <c r="R12" s="16">
        <v>45</v>
      </c>
      <c r="S12" s="16">
        <v>100</v>
      </c>
      <c r="T12" s="16">
        <v>18</v>
      </c>
      <c r="U12" s="16">
        <v>29</v>
      </c>
      <c r="V12" s="16">
        <v>29</v>
      </c>
      <c r="W12" s="16"/>
      <c r="X12" s="16">
        <v>36</v>
      </c>
      <c r="Y12" s="16">
        <v>29</v>
      </c>
      <c r="Z12" s="16">
        <v>16</v>
      </c>
      <c r="AA12" s="16">
        <v>29</v>
      </c>
      <c r="AB12" s="16">
        <v>13</v>
      </c>
      <c r="AC12" s="16"/>
      <c r="AD12" s="16"/>
      <c r="AE12" s="16"/>
      <c r="AF12" s="16"/>
      <c r="AG12" s="16"/>
      <c r="AH12" s="16"/>
    </row>
    <row r="13" spans="1:100" ht="14.25" customHeight="1" x14ac:dyDescent="0.25">
      <c r="A13" s="16">
        <v>20</v>
      </c>
      <c r="B13" s="16" t="s">
        <v>101</v>
      </c>
      <c r="C13" s="16" t="str">
        <f>CONCATENATE("[pr ", B13,"]")</f>
        <v>[pr Siwy]</v>
      </c>
      <c r="D13" s="16" t="s">
        <v>74</v>
      </c>
      <c r="E13" s="16">
        <f>J13+K13+S13+W13</f>
        <v>49</v>
      </c>
      <c r="F13" s="16">
        <f>I13+L13+M13+N13+O13+P13+Q13+R13+T13+U13+V13+Z13+AA13+AC13+AD13+AE13+AF13</f>
        <v>237</v>
      </c>
      <c r="G13" s="16">
        <f>X13+Y13+AB13+AG13+AH13</f>
        <v>148</v>
      </c>
      <c r="H13" s="17">
        <f>SUM(I13:AG13)</f>
        <v>434</v>
      </c>
      <c r="I13" s="16"/>
      <c r="J13" s="16"/>
      <c r="K13" s="16"/>
      <c r="L13" s="16">
        <v>36</v>
      </c>
      <c r="M13" s="16">
        <v>12</v>
      </c>
      <c r="N13" s="16">
        <v>9</v>
      </c>
      <c r="O13" s="16">
        <v>13</v>
      </c>
      <c r="P13" s="16">
        <v>36</v>
      </c>
      <c r="Q13" s="16">
        <v>24</v>
      </c>
      <c r="R13" s="16">
        <v>80</v>
      </c>
      <c r="S13" s="16">
        <v>29</v>
      </c>
      <c r="T13" s="16">
        <v>16</v>
      </c>
      <c r="U13" s="16"/>
      <c r="V13" s="16">
        <v>11</v>
      </c>
      <c r="W13" s="16">
        <v>20</v>
      </c>
      <c r="X13" s="16">
        <v>100</v>
      </c>
      <c r="Y13" s="16">
        <v>12</v>
      </c>
      <c r="Z13" s="16"/>
      <c r="AA13" s="16"/>
      <c r="AB13" s="16">
        <v>36</v>
      </c>
      <c r="AC13" s="16"/>
      <c r="AD13" s="16"/>
      <c r="AE13" s="16"/>
      <c r="AF13" s="16"/>
      <c r="AG13" s="16"/>
      <c r="AH13" s="16"/>
    </row>
    <row r="14" spans="1:100" ht="14.25" customHeight="1" x14ac:dyDescent="0.25">
      <c r="A14" s="16">
        <v>19</v>
      </c>
      <c r="B14" s="16" t="s">
        <v>57</v>
      </c>
      <c r="C14" s="16" t="str">
        <f>CONCATENATE("[pr ", B14,"]")</f>
        <v>[pr maniek25]</v>
      </c>
      <c r="D14" s="16" t="s">
        <v>71</v>
      </c>
      <c r="E14" s="16">
        <f>J14+K14+S14+W14</f>
        <v>50</v>
      </c>
      <c r="F14" s="16">
        <f>I14+L14+M14+N14+O14+P14+Q14+R14+T14+U14+V14+Z14+AA14+AC14+AD14+AE14+AF14</f>
        <v>247</v>
      </c>
      <c r="G14" s="16">
        <f>X14+Y14+AB14+AG14+AH14</f>
        <v>109</v>
      </c>
      <c r="H14" s="17">
        <f>SUM(I14:AG14)</f>
        <v>406</v>
      </c>
      <c r="I14" s="16">
        <v>13</v>
      </c>
      <c r="J14" s="16"/>
      <c r="K14" s="16"/>
      <c r="L14" s="16"/>
      <c r="M14" s="16"/>
      <c r="N14" s="16"/>
      <c r="O14" s="16">
        <v>10</v>
      </c>
      <c r="P14" s="16">
        <v>29</v>
      </c>
      <c r="Q14" s="16">
        <v>32</v>
      </c>
      <c r="R14" s="16">
        <v>16</v>
      </c>
      <c r="S14" s="16"/>
      <c r="T14" s="16">
        <v>36</v>
      </c>
      <c r="U14" s="16">
        <v>40</v>
      </c>
      <c r="V14" s="16">
        <v>29</v>
      </c>
      <c r="W14" s="16">
        <v>50</v>
      </c>
      <c r="X14" s="16">
        <v>45</v>
      </c>
      <c r="Y14" s="16">
        <v>40</v>
      </c>
      <c r="Z14" s="16">
        <v>24</v>
      </c>
      <c r="AA14" s="16">
        <v>18</v>
      </c>
      <c r="AB14" s="16">
        <v>24</v>
      </c>
      <c r="AC14" s="16"/>
      <c r="AD14" s="16"/>
      <c r="AE14" s="16"/>
      <c r="AF14" s="16"/>
      <c r="AG14" s="16"/>
      <c r="AH14" s="16"/>
    </row>
    <row r="15" spans="1:100" ht="14.25" customHeight="1" x14ac:dyDescent="0.25">
      <c r="A15" s="16">
        <v>11</v>
      </c>
      <c r="B15" s="16" t="s">
        <v>56</v>
      </c>
      <c r="C15" s="16" t="str">
        <f>CONCATENATE("[pr ", B15,"]")</f>
        <v>[pr mask]</v>
      </c>
      <c r="D15" s="16" t="s">
        <v>72</v>
      </c>
      <c r="E15" s="16">
        <f>J15+K15+S15+W15</f>
        <v>108</v>
      </c>
      <c r="F15" s="16">
        <f>I15+L15+M15+N15+O15+P15+Q15+R15+T15+U15+V15+Z15+AA15+AC15+AD15+AE15+AF15</f>
        <v>274</v>
      </c>
      <c r="G15" s="16">
        <f>X15+Y15+AB15+AG15+AH15</f>
        <v>22</v>
      </c>
      <c r="H15" s="17">
        <f>SUM(I15:AG15)</f>
        <v>404</v>
      </c>
      <c r="I15" s="16">
        <v>13</v>
      </c>
      <c r="J15" s="16">
        <v>24</v>
      </c>
      <c r="K15" s="16">
        <v>24</v>
      </c>
      <c r="L15" s="16">
        <v>60</v>
      </c>
      <c r="M15" s="16">
        <v>50</v>
      </c>
      <c r="N15" s="16">
        <v>45</v>
      </c>
      <c r="O15" s="16">
        <v>14</v>
      </c>
      <c r="P15" s="16">
        <v>18</v>
      </c>
      <c r="Q15" s="16"/>
      <c r="R15" s="16">
        <v>50</v>
      </c>
      <c r="S15" s="16">
        <v>60</v>
      </c>
      <c r="T15" s="16">
        <v>24</v>
      </c>
      <c r="U15" s="16"/>
      <c r="V15" s="16"/>
      <c r="W15" s="16"/>
      <c r="X15" s="16"/>
      <c r="Y15" s="16"/>
      <c r="Z15" s="16"/>
      <c r="AA15" s="16"/>
      <c r="AB15" s="16">
        <v>22</v>
      </c>
      <c r="AC15" s="16"/>
      <c r="AD15" s="16"/>
      <c r="AE15" s="16"/>
      <c r="AF15" s="16"/>
      <c r="AG15" s="16"/>
      <c r="AH15" s="16"/>
    </row>
    <row r="16" spans="1:100" ht="14.25" customHeight="1" x14ac:dyDescent="0.25">
      <c r="A16" s="16">
        <v>17</v>
      </c>
      <c r="B16" s="16" t="s">
        <v>51</v>
      </c>
      <c r="C16" s="16" t="str">
        <f>CONCATENATE("[pr ", B16,"]")</f>
        <v>[pr Lukasz16]</v>
      </c>
      <c r="D16" s="16" t="s">
        <v>72</v>
      </c>
      <c r="E16" s="16">
        <f>J16+K16+S16+W16</f>
        <v>61</v>
      </c>
      <c r="F16" s="16">
        <f>I16+L16+M16+N16+O16+P16+Q16+R16+T16+U16+V16+Z16+AA16+AC16+AD16+AE16+AF16</f>
        <v>252</v>
      </c>
      <c r="G16" s="16">
        <f>X16+Y16+AB16+AG16+AH16</f>
        <v>49</v>
      </c>
      <c r="H16" s="17">
        <f>SUM(I16:AG16)</f>
        <v>362</v>
      </c>
      <c r="I16" s="16">
        <v>18</v>
      </c>
      <c r="J16" s="16"/>
      <c r="K16" s="16"/>
      <c r="L16" s="16"/>
      <c r="M16" s="16"/>
      <c r="N16" s="16"/>
      <c r="O16" s="16">
        <v>15</v>
      </c>
      <c r="P16" s="16">
        <v>36</v>
      </c>
      <c r="Q16" s="16">
        <v>32</v>
      </c>
      <c r="R16" s="16">
        <v>26</v>
      </c>
      <c r="S16" s="16">
        <v>11</v>
      </c>
      <c r="T16" s="16">
        <v>29</v>
      </c>
      <c r="U16" s="16">
        <v>10</v>
      </c>
      <c r="V16" s="16">
        <v>50</v>
      </c>
      <c r="W16" s="16">
        <v>50</v>
      </c>
      <c r="X16" s="16">
        <v>20</v>
      </c>
      <c r="Y16" s="16">
        <v>15</v>
      </c>
      <c r="Z16" s="16"/>
      <c r="AA16" s="16">
        <v>36</v>
      </c>
      <c r="AB16" s="16">
        <v>14</v>
      </c>
      <c r="AC16" s="16"/>
      <c r="AD16" s="16"/>
      <c r="AE16" s="16"/>
      <c r="AF16" s="16"/>
      <c r="AG16" s="16"/>
      <c r="AH16" s="16"/>
    </row>
    <row r="17" spans="1:34" ht="14.25" customHeight="1" x14ac:dyDescent="0.25">
      <c r="A17" s="16">
        <v>9</v>
      </c>
      <c r="B17" s="16" t="s">
        <v>96</v>
      </c>
      <c r="C17" s="16" t="str">
        <f>CONCATENATE("[pr ", B17,"]")</f>
        <v>[pr MacKaw]</v>
      </c>
      <c r="D17" s="16" t="s">
        <v>75</v>
      </c>
      <c r="E17" s="16">
        <f>J17+K17+S17+W17</f>
        <v>124</v>
      </c>
      <c r="F17" s="16">
        <f>I17+L17+M17+N17+O17+P17+Q17+R17+T17+U17+V17+Z17+AA17+AC17+AD17+AE17+AF17</f>
        <v>185</v>
      </c>
      <c r="G17" s="16">
        <f>X17+Y17+AB17+AG17+AH17</f>
        <v>22</v>
      </c>
      <c r="H17" s="17">
        <f>SUM(I17:AG17)</f>
        <v>331</v>
      </c>
      <c r="I17" s="16"/>
      <c r="J17" s="16">
        <v>45</v>
      </c>
      <c r="K17" s="16">
        <v>24</v>
      </c>
      <c r="L17" s="16">
        <v>7</v>
      </c>
      <c r="M17" s="16">
        <v>10</v>
      </c>
      <c r="N17" s="16">
        <v>15</v>
      </c>
      <c r="O17" s="16">
        <v>8</v>
      </c>
      <c r="P17" s="16">
        <v>3</v>
      </c>
      <c r="Q17" s="16">
        <v>50</v>
      </c>
      <c r="R17" s="16">
        <v>26</v>
      </c>
      <c r="S17" s="16">
        <v>29</v>
      </c>
      <c r="T17" s="16">
        <v>12</v>
      </c>
      <c r="U17" s="16">
        <v>14</v>
      </c>
      <c r="V17" s="16">
        <v>40</v>
      </c>
      <c r="W17" s="16">
        <v>26</v>
      </c>
      <c r="X17" s="16">
        <v>22</v>
      </c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1:34" ht="14.25" customHeight="1" x14ac:dyDescent="0.25">
      <c r="A18" s="16">
        <v>18</v>
      </c>
      <c r="B18" s="16" t="s">
        <v>64</v>
      </c>
      <c r="C18" s="16" t="str">
        <f>CONCATENATE("[pr ", B18,"]")</f>
        <v>[pr Czacha Czapa]</v>
      </c>
      <c r="D18" s="16" t="s">
        <v>71</v>
      </c>
      <c r="E18" s="16">
        <f>J18+K18+S18+W18</f>
        <v>51</v>
      </c>
      <c r="F18" s="16">
        <f>I18+L18+M18+N18+O18+P18+Q18+R18+T18+U18+V18+Z18+AA18+AC18+AD18+AE18+AF18</f>
        <v>210</v>
      </c>
      <c r="G18" s="16">
        <f>X18+Y18+AB18+AG18+AH18</f>
        <v>47</v>
      </c>
      <c r="H18" s="17">
        <f>SUM(I18:AG18)</f>
        <v>308</v>
      </c>
      <c r="I18" s="16">
        <v>4</v>
      </c>
      <c r="J18" s="16">
        <v>7</v>
      </c>
      <c r="K18" s="16">
        <v>15</v>
      </c>
      <c r="L18" s="16">
        <v>6</v>
      </c>
      <c r="M18" s="16"/>
      <c r="N18" s="16"/>
      <c r="O18" s="16">
        <v>36</v>
      </c>
      <c r="P18" s="16">
        <v>16</v>
      </c>
      <c r="Q18" s="16">
        <v>20</v>
      </c>
      <c r="R18" s="16">
        <v>22</v>
      </c>
      <c r="S18" s="16">
        <v>29</v>
      </c>
      <c r="T18" s="16">
        <v>36</v>
      </c>
      <c r="U18" s="16">
        <v>13</v>
      </c>
      <c r="V18" s="16">
        <v>12</v>
      </c>
      <c r="W18" s="16"/>
      <c r="X18" s="16">
        <v>18</v>
      </c>
      <c r="Y18" s="16">
        <v>29</v>
      </c>
      <c r="Z18" s="16">
        <v>29</v>
      </c>
      <c r="AA18" s="16">
        <v>16</v>
      </c>
      <c r="AB18" s="16"/>
      <c r="AC18" s="16"/>
      <c r="AD18" s="16"/>
      <c r="AE18" s="16"/>
      <c r="AF18" s="16"/>
      <c r="AG18" s="16"/>
      <c r="AH18" s="16"/>
    </row>
    <row r="19" spans="1:34" ht="14.25" customHeight="1" x14ac:dyDescent="0.25">
      <c r="A19" s="16">
        <v>13</v>
      </c>
      <c r="B19" s="16" t="s">
        <v>55</v>
      </c>
      <c r="C19" s="16" t="str">
        <f>CONCATENATE("[pr ", B19,"]")</f>
        <v>[pr Radek21]</v>
      </c>
      <c r="D19" s="16" t="s">
        <v>75</v>
      </c>
      <c r="E19" s="16">
        <f>J19+K19+S19+W19</f>
        <v>96</v>
      </c>
      <c r="F19" s="16">
        <f>I19+L19+M19+N19+O19+P19+Q19+R19+T19+U19+V19+Z19+AA19+AC19+AD19+AE19+AF19</f>
        <v>144</v>
      </c>
      <c r="G19" s="16">
        <f>X19+Y19+AB19+AG19+AH19</f>
        <v>24</v>
      </c>
      <c r="H19" s="17">
        <f>SUM(I19:AG19)</f>
        <v>264</v>
      </c>
      <c r="I19" s="16">
        <v>13</v>
      </c>
      <c r="J19" s="16"/>
      <c r="K19" s="16">
        <v>36</v>
      </c>
      <c r="L19" s="16">
        <v>1</v>
      </c>
      <c r="M19" s="16">
        <v>14</v>
      </c>
      <c r="N19" s="16">
        <v>6</v>
      </c>
      <c r="O19" s="16">
        <v>11</v>
      </c>
      <c r="P19" s="16"/>
      <c r="Q19" s="16">
        <v>7</v>
      </c>
      <c r="R19" s="16"/>
      <c r="S19" s="16">
        <v>60</v>
      </c>
      <c r="T19" s="16">
        <v>16</v>
      </c>
      <c r="U19" s="16"/>
      <c r="V19" s="16">
        <v>40</v>
      </c>
      <c r="W19" s="16"/>
      <c r="X19" s="16">
        <v>11</v>
      </c>
      <c r="Y19" s="16">
        <v>13</v>
      </c>
      <c r="Z19" s="16">
        <v>14</v>
      </c>
      <c r="AA19" s="16">
        <v>22</v>
      </c>
      <c r="AB19" s="16"/>
      <c r="AC19" s="16"/>
      <c r="AD19" s="16"/>
      <c r="AE19" s="16"/>
      <c r="AF19" s="16"/>
      <c r="AG19" s="16"/>
      <c r="AH19" s="16"/>
    </row>
    <row r="20" spans="1:34" ht="14.25" customHeight="1" x14ac:dyDescent="0.25">
      <c r="A20" s="16">
        <v>25</v>
      </c>
      <c r="B20" s="16" t="s">
        <v>102</v>
      </c>
      <c r="C20" s="16" t="str">
        <f>CONCATENATE("[pr ", B20,"]")</f>
        <v>[pr olo9223]</v>
      </c>
      <c r="D20" s="16"/>
      <c r="E20" s="16">
        <f>J20+K20+S20+W20</f>
        <v>35</v>
      </c>
      <c r="F20" s="16">
        <f>I20+L20+M20+N20+O20+P20+Q20+R20+T20+U20+V20+Z20+AA20+AC20+AD20+AE20+AF20</f>
        <v>222</v>
      </c>
      <c r="G20" s="16">
        <f>X20+Y20+AB20+AG20+AH20</f>
        <v>0</v>
      </c>
      <c r="H20" s="17">
        <f>SUM(I20:AG20)</f>
        <v>257</v>
      </c>
      <c r="I20" s="16"/>
      <c r="J20" s="16">
        <v>11</v>
      </c>
      <c r="K20" s="16">
        <v>12</v>
      </c>
      <c r="L20" s="16">
        <v>11</v>
      </c>
      <c r="M20" s="16">
        <v>16</v>
      </c>
      <c r="N20" s="16">
        <v>16</v>
      </c>
      <c r="O20" s="16">
        <v>22</v>
      </c>
      <c r="P20" s="16">
        <v>10</v>
      </c>
      <c r="Q20" s="16">
        <v>14</v>
      </c>
      <c r="R20" s="16">
        <v>80</v>
      </c>
      <c r="S20" s="16">
        <v>12</v>
      </c>
      <c r="T20" s="16">
        <v>13</v>
      </c>
      <c r="U20" s="16">
        <v>40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</row>
    <row r="21" spans="1:34" ht="14.25" customHeight="1" x14ac:dyDescent="0.25">
      <c r="A21" s="16">
        <v>16</v>
      </c>
      <c r="B21" s="16" t="s">
        <v>82</v>
      </c>
      <c r="C21" s="16" t="str">
        <f>CONCATENATE("[pr ", B21,"]")</f>
        <v>[pr Sven Hannawald]</v>
      </c>
      <c r="D21" s="16" t="s">
        <v>74</v>
      </c>
      <c r="E21" s="16">
        <f>J21+K21+S21+W21</f>
        <v>62</v>
      </c>
      <c r="F21" s="16">
        <f>I21+L21+M21+N21+O21+P21+Q21+R21+T21+U21+V21+Z21+AA21+AC21+AD21+AE21+AF21</f>
        <v>148</v>
      </c>
      <c r="G21" s="16">
        <f>X21+Y21+AB21+AG21+AH21</f>
        <v>45</v>
      </c>
      <c r="H21" s="17">
        <f>SUM(I21:AG21)</f>
        <v>255</v>
      </c>
      <c r="I21" s="16"/>
      <c r="J21" s="16">
        <v>14</v>
      </c>
      <c r="K21" s="16">
        <v>12</v>
      </c>
      <c r="L21" s="16">
        <v>13</v>
      </c>
      <c r="M21" s="16">
        <v>13</v>
      </c>
      <c r="N21" s="16">
        <v>8</v>
      </c>
      <c r="O21" s="16">
        <v>1</v>
      </c>
      <c r="P21" s="16">
        <v>1</v>
      </c>
      <c r="Q21" s="16">
        <v>4</v>
      </c>
      <c r="R21" s="16">
        <v>6</v>
      </c>
      <c r="S21" s="16">
        <v>16</v>
      </c>
      <c r="T21" s="16">
        <v>24</v>
      </c>
      <c r="U21" s="16">
        <v>60</v>
      </c>
      <c r="V21" s="16">
        <v>18</v>
      </c>
      <c r="W21" s="16">
        <v>20</v>
      </c>
      <c r="X21" s="16">
        <v>45</v>
      </c>
      <c r="Y21" s="16"/>
      <c r="Z21" s="16"/>
      <c r="AA21" s="16"/>
      <c r="AB21" s="16"/>
      <c r="AC21" s="16"/>
      <c r="AD21" s="16"/>
      <c r="AE21" s="16"/>
      <c r="AF21" s="16"/>
      <c r="AG21" s="16"/>
      <c r="AH21" s="16"/>
    </row>
    <row r="22" spans="1:34" ht="14.25" customHeight="1" x14ac:dyDescent="0.25">
      <c r="A22" s="16">
        <v>30</v>
      </c>
      <c r="B22" s="16" t="s">
        <v>43</v>
      </c>
      <c r="C22" s="16" t="str">
        <f>CONCATENATE("[pr ", B22,"]")</f>
        <v>[pr Artx]</v>
      </c>
      <c r="D22" s="16" t="s">
        <v>73</v>
      </c>
      <c r="E22" s="16">
        <f>J22+K22+S22+W22</f>
        <v>24</v>
      </c>
      <c r="F22" s="16">
        <f>I22+L22+M22+N22+O22+P22+Q22+R22+T22+U22+V22+Z22+AA22+AC22+AD22+AE22+AF22</f>
        <v>148</v>
      </c>
      <c r="G22" s="16">
        <f>X22+Y22+AB22+AG22+AH22</f>
        <v>64</v>
      </c>
      <c r="H22" s="17">
        <f>SUM(I22:AG22)</f>
        <v>236</v>
      </c>
      <c r="I22" s="16">
        <v>36</v>
      </c>
      <c r="J22" s="16">
        <v>24</v>
      </c>
      <c r="K22" s="16"/>
      <c r="L22" s="16"/>
      <c r="M22" s="16">
        <v>24</v>
      </c>
      <c r="N22" s="16">
        <v>26</v>
      </c>
      <c r="O22" s="16">
        <v>22</v>
      </c>
      <c r="P22" s="16">
        <v>40</v>
      </c>
      <c r="Q22" s="16"/>
      <c r="R22" s="16"/>
      <c r="S22" s="16"/>
      <c r="T22" s="16"/>
      <c r="U22" s="16"/>
      <c r="V22" s="16"/>
      <c r="W22" s="16"/>
      <c r="X22" s="16">
        <v>32</v>
      </c>
      <c r="Y22" s="16">
        <v>32</v>
      </c>
      <c r="Z22" s="16"/>
      <c r="AA22" s="16"/>
      <c r="AB22" s="16"/>
      <c r="AC22" s="16"/>
      <c r="AD22" s="16"/>
      <c r="AE22" s="16"/>
      <c r="AF22" s="16"/>
      <c r="AG22" s="16"/>
      <c r="AH22" s="16"/>
    </row>
    <row r="23" spans="1:34" ht="14.25" customHeight="1" x14ac:dyDescent="0.25">
      <c r="A23" s="16">
        <v>23</v>
      </c>
      <c r="B23" s="16" t="s">
        <v>121</v>
      </c>
      <c r="C23" s="16" t="str">
        <f>CONCATENATE("[pr ", B23,"]")</f>
        <v>[pr gron797]</v>
      </c>
      <c r="D23" s="16" t="s">
        <v>74</v>
      </c>
      <c r="E23" s="16">
        <f>J23+K23+S23+W23</f>
        <v>39</v>
      </c>
      <c r="F23" s="16">
        <f>I23+L23+M23+N23+O23+P23+Q23+R23+T23+U23+V23+Z23+AA23+AC23+AD23+AE23+AF23</f>
        <v>128</v>
      </c>
      <c r="G23" s="16">
        <f>X23+Y23+AB23+AG23+AH23</f>
        <v>41</v>
      </c>
      <c r="H23" s="17">
        <f>SUM(I23:AG23)</f>
        <v>208</v>
      </c>
      <c r="I23" s="16"/>
      <c r="J23" s="16">
        <v>24</v>
      </c>
      <c r="K23" s="16">
        <v>15</v>
      </c>
      <c r="L23" s="16">
        <v>15</v>
      </c>
      <c r="M23" s="16">
        <v>45</v>
      </c>
      <c r="N23" s="16">
        <v>14</v>
      </c>
      <c r="O23" s="16"/>
      <c r="P23" s="16">
        <v>14</v>
      </c>
      <c r="Q23" s="16"/>
      <c r="R23" s="16"/>
      <c r="S23" s="16"/>
      <c r="T23" s="16"/>
      <c r="U23" s="16"/>
      <c r="V23" s="16"/>
      <c r="W23" s="16"/>
      <c r="X23" s="16">
        <v>12</v>
      </c>
      <c r="Y23" s="16">
        <v>11</v>
      </c>
      <c r="Z23" s="16">
        <v>18</v>
      </c>
      <c r="AA23" s="16">
        <v>22</v>
      </c>
      <c r="AB23" s="16">
        <v>18</v>
      </c>
      <c r="AC23" s="16"/>
      <c r="AD23" s="16"/>
      <c r="AE23" s="16"/>
      <c r="AF23" s="16"/>
      <c r="AG23" s="16"/>
      <c r="AH23" s="16"/>
    </row>
    <row r="24" spans="1:34" ht="14.25" customHeight="1" x14ac:dyDescent="0.25">
      <c r="A24" s="16">
        <v>15</v>
      </c>
      <c r="B24" s="16" t="s">
        <v>79</v>
      </c>
      <c r="C24" s="16" t="str">
        <f>CONCATENATE("[pr ", B24,"]")</f>
        <v>[pr Yahoo]</v>
      </c>
      <c r="D24" s="16" t="s">
        <v>72</v>
      </c>
      <c r="E24" s="16">
        <f>J24+K24+S24+W24</f>
        <v>84</v>
      </c>
      <c r="F24" s="16">
        <f>I24+L24+M24+N24+O24+P24+Q24+R24+T24+U24+V24+Z24+AA24+AC24+AD24+AE24+AF24</f>
        <v>116</v>
      </c>
      <c r="G24" s="16">
        <f>X24+Y24+AB24+AG24+AH24</f>
        <v>7</v>
      </c>
      <c r="H24" s="17">
        <f>SUM(I24:AG24)</f>
        <v>207</v>
      </c>
      <c r="I24" s="16"/>
      <c r="J24" s="16">
        <v>24</v>
      </c>
      <c r="K24" s="16">
        <v>50</v>
      </c>
      <c r="L24" s="16">
        <v>20</v>
      </c>
      <c r="M24" s="16">
        <v>29</v>
      </c>
      <c r="N24" s="16">
        <v>14</v>
      </c>
      <c r="O24" s="16">
        <v>8</v>
      </c>
      <c r="P24" s="16"/>
      <c r="Q24" s="16">
        <v>14</v>
      </c>
      <c r="R24" s="16"/>
      <c r="S24" s="16"/>
      <c r="T24" s="16"/>
      <c r="U24" s="16">
        <v>16</v>
      </c>
      <c r="V24" s="16">
        <v>15</v>
      </c>
      <c r="W24" s="16">
        <v>10</v>
      </c>
      <c r="X24" s="16">
        <v>7</v>
      </c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ht="14.25" customHeight="1" x14ac:dyDescent="0.25">
      <c r="A25" s="16">
        <v>31</v>
      </c>
      <c r="B25" s="16" t="s">
        <v>98</v>
      </c>
      <c r="C25" s="16" t="str">
        <f>CONCATENATE("[pr ", B25,"]")</f>
        <v>[pr Gentelman]</v>
      </c>
      <c r="D25" s="16" t="s">
        <v>74</v>
      </c>
      <c r="E25" s="16">
        <f>J25+K25+S25+W25</f>
        <v>20</v>
      </c>
      <c r="F25" s="16">
        <f>I25+L25+M25+N25+O25+P25+Q25+R25+T25+U25+V25+Z25+AA25+AC25+AD25+AE25+AF25</f>
        <v>136</v>
      </c>
      <c r="G25" s="16">
        <f>X25+Y25+AB25+AG25+AH25</f>
        <v>48</v>
      </c>
      <c r="H25" s="17">
        <f>SUM(I25:AG25)</f>
        <v>204</v>
      </c>
      <c r="I25" s="16"/>
      <c r="J25" s="16"/>
      <c r="K25" s="16">
        <v>2</v>
      </c>
      <c r="L25" s="16"/>
      <c r="M25" s="16"/>
      <c r="N25" s="16">
        <v>1</v>
      </c>
      <c r="O25" s="16"/>
      <c r="P25" s="16">
        <v>5</v>
      </c>
      <c r="Q25" s="16"/>
      <c r="R25" s="16">
        <v>6</v>
      </c>
      <c r="S25" s="16">
        <v>8</v>
      </c>
      <c r="T25" s="16">
        <v>3</v>
      </c>
      <c r="U25" s="16">
        <v>10</v>
      </c>
      <c r="V25" s="16">
        <v>5</v>
      </c>
      <c r="W25" s="16">
        <v>10</v>
      </c>
      <c r="X25" s="16">
        <v>16</v>
      </c>
      <c r="Y25" s="16"/>
      <c r="Z25" s="16">
        <v>26</v>
      </c>
      <c r="AA25" s="16">
        <v>80</v>
      </c>
      <c r="AB25" s="16">
        <v>32</v>
      </c>
      <c r="AC25" s="16"/>
      <c r="AD25" s="16"/>
      <c r="AE25" s="16"/>
      <c r="AF25" s="16"/>
      <c r="AG25" s="16"/>
      <c r="AH25" s="16"/>
    </row>
    <row r="26" spans="1:34" ht="14.25" customHeight="1" x14ac:dyDescent="0.25">
      <c r="A26" s="16">
        <v>26</v>
      </c>
      <c r="B26" s="16" t="s">
        <v>59</v>
      </c>
      <c r="C26" s="16" t="str">
        <f>CONCATENATE("[pr ", B26,"]")</f>
        <v>[pr Sławek]</v>
      </c>
      <c r="D26" s="16" t="s">
        <v>72</v>
      </c>
      <c r="E26" s="16">
        <f>J26+K26+S26+W26</f>
        <v>35</v>
      </c>
      <c r="F26" s="16">
        <f>I26+L26+M26+N26+O26+P26+Q26+R26+T26+U26+V26+Z26+AA26+AC26+AD26+AE26+AF26</f>
        <v>124</v>
      </c>
      <c r="G26" s="16">
        <f>X26+Y26+AB26+AG26+AH26</f>
        <v>37</v>
      </c>
      <c r="H26" s="17">
        <f>SUM(I26:AG26)</f>
        <v>196</v>
      </c>
      <c r="I26" s="16">
        <v>9</v>
      </c>
      <c r="J26" s="16"/>
      <c r="K26" s="16">
        <v>15</v>
      </c>
      <c r="L26" s="16">
        <v>9</v>
      </c>
      <c r="M26" s="16">
        <v>5</v>
      </c>
      <c r="N26" s="16"/>
      <c r="O26" s="16">
        <v>10</v>
      </c>
      <c r="P26" s="16">
        <v>13</v>
      </c>
      <c r="Q26" s="16"/>
      <c r="R26" s="16"/>
      <c r="S26" s="16"/>
      <c r="T26" s="16"/>
      <c r="U26" s="16">
        <v>60</v>
      </c>
      <c r="V26" s="16">
        <v>18</v>
      </c>
      <c r="W26" s="16">
        <v>20</v>
      </c>
      <c r="X26" s="16">
        <v>15</v>
      </c>
      <c r="Y26" s="16">
        <v>22</v>
      </c>
      <c r="Z26" s="16"/>
      <c r="AA26" s="16"/>
      <c r="AB26" s="16"/>
      <c r="AC26" s="16"/>
      <c r="AD26" s="16"/>
      <c r="AE26" s="16"/>
      <c r="AF26" s="16"/>
      <c r="AG26" s="16"/>
      <c r="AH26" s="16"/>
    </row>
    <row r="27" spans="1:34" ht="14.25" customHeight="1" x14ac:dyDescent="0.25">
      <c r="A27" s="16">
        <v>40</v>
      </c>
      <c r="B27" s="16" t="s">
        <v>54</v>
      </c>
      <c r="C27" s="16" t="str">
        <f>CONCATENATE("[pr ", B27,"]")</f>
        <v>[pr Tom]</v>
      </c>
      <c r="D27" s="16" t="s">
        <v>74</v>
      </c>
      <c r="E27" s="16">
        <f>J27+K27+S27+W27</f>
        <v>11</v>
      </c>
      <c r="F27" s="16">
        <f>I27+L27+M27+N27+O27+P27+Q27+R27+T27+U27+V27+Z27+AA27+AC27+AD27+AE27+AF27</f>
        <v>166</v>
      </c>
      <c r="G27" s="16">
        <f>X27+Y27+AB27+AG27+AH27</f>
        <v>16</v>
      </c>
      <c r="H27" s="17">
        <f>SUM(I27:AG27)</f>
        <v>193</v>
      </c>
      <c r="I27" s="16">
        <v>13</v>
      </c>
      <c r="J27" s="16">
        <v>11</v>
      </c>
      <c r="K27" s="16"/>
      <c r="L27" s="16">
        <v>45</v>
      </c>
      <c r="M27" s="16">
        <v>18</v>
      </c>
      <c r="N27" s="16">
        <v>14</v>
      </c>
      <c r="O27" s="16">
        <v>36</v>
      </c>
      <c r="P27" s="16"/>
      <c r="Q27" s="16">
        <v>15</v>
      </c>
      <c r="R27" s="16">
        <v>7</v>
      </c>
      <c r="S27" s="16"/>
      <c r="T27" s="16"/>
      <c r="U27" s="16">
        <v>11</v>
      </c>
      <c r="V27" s="16">
        <v>7</v>
      </c>
      <c r="W27" s="16"/>
      <c r="X27" s="16"/>
      <c r="Y27" s="16"/>
      <c r="Z27" s="16"/>
      <c r="AA27" s="16"/>
      <c r="AB27" s="16">
        <v>16</v>
      </c>
      <c r="AC27" s="16"/>
      <c r="AD27" s="16"/>
      <c r="AE27" s="16"/>
      <c r="AF27" s="16"/>
      <c r="AG27" s="16"/>
      <c r="AH27" s="16"/>
    </row>
    <row r="28" spans="1:34" ht="14.25" customHeight="1" x14ac:dyDescent="0.25">
      <c r="A28" s="16">
        <v>22</v>
      </c>
      <c r="B28" s="16" t="s">
        <v>90</v>
      </c>
      <c r="C28" s="16" t="str">
        <f>CONCATENATE("[pr ", B28,"]")</f>
        <v>[pr Dynasty]</v>
      </c>
      <c r="D28" s="16"/>
      <c r="E28" s="16">
        <f>J28+K28+S28+W28</f>
        <v>42</v>
      </c>
      <c r="F28" s="16">
        <f>I28+L28+M28+N28+O28+P28+Q28+R28+T28+U28+V28+Z28+AA28+AC28+AD28+AE28+AF28</f>
        <v>136</v>
      </c>
      <c r="G28" s="16">
        <f>X28+Y28+AB28+AG28+AH28</f>
        <v>11</v>
      </c>
      <c r="H28" s="17">
        <f>SUM(I28:AG28)</f>
        <v>189</v>
      </c>
      <c r="I28" s="16"/>
      <c r="J28" s="16"/>
      <c r="K28" s="16"/>
      <c r="L28" s="16">
        <v>1</v>
      </c>
      <c r="M28" s="16">
        <v>7</v>
      </c>
      <c r="N28" s="16">
        <v>4</v>
      </c>
      <c r="O28" s="16">
        <v>2</v>
      </c>
      <c r="P28" s="16">
        <v>1</v>
      </c>
      <c r="Q28" s="16">
        <v>14</v>
      </c>
      <c r="R28" s="16">
        <v>36</v>
      </c>
      <c r="S28" s="16">
        <v>16</v>
      </c>
      <c r="T28" s="16">
        <v>11</v>
      </c>
      <c r="U28" s="16">
        <v>40</v>
      </c>
      <c r="V28" s="16">
        <v>20</v>
      </c>
      <c r="W28" s="16">
        <v>26</v>
      </c>
      <c r="X28" s="16"/>
      <c r="Y28" s="16"/>
      <c r="Z28" s="16"/>
      <c r="AA28" s="16"/>
      <c r="AB28" s="16">
        <v>11</v>
      </c>
      <c r="AC28" s="16"/>
      <c r="AD28" s="16"/>
      <c r="AE28" s="16"/>
      <c r="AF28" s="16"/>
      <c r="AG28" s="16"/>
      <c r="AH28" s="16"/>
    </row>
    <row r="29" spans="1:34" ht="14.25" customHeight="1" x14ac:dyDescent="0.25">
      <c r="A29" s="16">
        <v>21</v>
      </c>
      <c r="B29" s="16" t="s">
        <v>47</v>
      </c>
      <c r="C29" s="16" t="str">
        <f>CONCATENATE("[pr ", B29,"]")</f>
        <v>[pr Jericho]</v>
      </c>
      <c r="D29" s="16"/>
      <c r="E29" s="16">
        <f>J29+K29+S29+W29</f>
        <v>47</v>
      </c>
      <c r="F29" s="16">
        <f>I29+L29+M29+N29+O29+P29+Q29+R29+T29+U29+V29+Z29+AA29+AC29+AD29+AE29+AF29</f>
        <v>121</v>
      </c>
      <c r="G29" s="16">
        <f>X29+Y29+AB29+AG29+AH29</f>
        <v>0</v>
      </c>
      <c r="H29" s="17">
        <f>SUM(I29:AG29)</f>
        <v>168</v>
      </c>
      <c r="I29" s="16">
        <v>26</v>
      </c>
      <c r="J29" s="16">
        <v>11</v>
      </c>
      <c r="K29" s="16">
        <v>12</v>
      </c>
      <c r="L29" s="16">
        <v>8</v>
      </c>
      <c r="M29" s="16">
        <v>7</v>
      </c>
      <c r="N29" s="16">
        <v>10</v>
      </c>
      <c r="O29" s="16"/>
      <c r="P29" s="16">
        <v>8</v>
      </c>
      <c r="Q29" s="16">
        <v>10</v>
      </c>
      <c r="R29" s="16">
        <v>29</v>
      </c>
      <c r="S29" s="16">
        <v>11</v>
      </c>
      <c r="T29" s="16">
        <v>6</v>
      </c>
      <c r="U29" s="16">
        <v>13</v>
      </c>
      <c r="V29" s="16">
        <v>4</v>
      </c>
      <c r="W29" s="16">
        <v>13</v>
      </c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</row>
    <row r="30" spans="1:34" ht="14.25" customHeight="1" x14ac:dyDescent="0.25">
      <c r="A30" s="16">
        <v>56</v>
      </c>
      <c r="B30" s="16" t="s">
        <v>63</v>
      </c>
      <c r="C30" s="16" t="str">
        <f>CONCATENATE("[pr ", B30,"]")</f>
        <v>[pr Daro44]</v>
      </c>
      <c r="D30" s="16"/>
      <c r="E30" s="16">
        <f>J30+K30+S30+W30</f>
        <v>0</v>
      </c>
      <c r="F30" s="16">
        <f>I30+L30+M30+N30+O30+P30+Q30+R30+T30+U30+V30+Z30+AA30+AC30+AD30+AE30+AF30</f>
        <v>109</v>
      </c>
      <c r="G30" s="16">
        <f>X30+Y30+AB30+AG30+AH30</f>
        <v>16</v>
      </c>
      <c r="H30" s="17">
        <f>SUM(I30:AG30)</f>
        <v>125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>
        <v>80</v>
      </c>
      <c r="AA30" s="16">
        <v>29</v>
      </c>
      <c r="AB30" s="16">
        <v>16</v>
      </c>
      <c r="AC30" s="16"/>
      <c r="AD30" s="16"/>
      <c r="AE30" s="16"/>
      <c r="AF30" s="16"/>
      <c r="AG30" s="16"/>
      <c r="AH30" s="16"/>
    </row>
    <row r="31" spans="1:34" ht="14.25" customHeight="1" x14ac:dyDescent="0.25">
      <c r="A31" s="16">
        <v>57</v>
      </c>
      <c r="B31" s="16" t="s">
        <v>66</v>
      </c>
      <c r="C31" s="16" t="str">
        <f>CONCATENATE("[pr ", B31,"]")</f>
        <v>[pr BartekStr]</v>
      </c>
      <c r="D31" s="16" t="s">
        <v>71</v>
      </c>
      <c r="E31" s="16">
        <f>J31+K31+S31+W31</f>
        <v>0</v>
      </c>
      <c r="F31" s="16">
        <f>I31+L31+M31+N31+O31+P31+Q31+R31+T31+U31+V31+Z31+AA31+AC31+AD31+AE31+AF31</f>
        <v>94</v>
      </c>
      <c r="G31" s="16">
        <f>X31+Y31+AB31+AG31+AH31</f>
        <v>26</v>
      </c>
      <c r="H31" s="17">
        <f>SUM(I31:AG31)</f>
        <v>120</v>
      </c>
      <c r="I31" s="16">
        <v>2</v>
      </c>
      <c r="J31" s="16"/>
      <c r="K31" s="16"/>
      <c r="L31" s="16"/>
      <c r="M31" s="16">
        <v>9</v>
      </c>
      <c r="N31" s="16"/>
      <c r="O31" s="16">
        <v>36</v>
      </c>
      <c r="P31" s="16">
        <v>10</v>
      </c>
      <c r="Q31" s="16">
        <v>8</v>
      </c>
      <c r="R31" s="16">
        <v>6</v>
      </c>
      <c r="S31" s="16"/>
      <c r="T31" s="16">
        <v>8</v>
      </c>
      <c r="U31" s="16"/>
      <c r="V31" s="16"/>
      <c r="W31" s="16"/>
      <c r="X31" s="16"/>
      <c r="Y31" s="16"/>
      <c r="Z31" s="16">
        <v>15</v>
      </c>
      <c r="AA31" s="16"/>
      <c r="AB31" s="16">
        <v>26</v>
      </c>
      <c r="AC31" s="16"/>
      <c r="AD31" s="16"/>
      <c r="AE31" s="16"/>
      <c r="AF31" s="16"/>
      <c r="AG31" s="16"/>
      <c r="AH31" s="16"/>
    </row>
    <row r="32" spans="1:34" ht="14.25" customHeight="1" x14ac:dyDescent="0.25">
      <c r="A32" s="16">
        <v>27</v>
      </c>
      <c r="B32" s="16" t="s">
        <v>129</v>
      </c>
      <c r="C32" s="16" t="str">
        <f>CONCATENATE("[pr ", B32,"]")</f>
        <v>[pr karol_2001]</v>
      </c>
      <c r="D32" s="16"/>
      <c r="E32" s="16">
        <f>J32+K32+S32+W32</f>
        <v>29</v>
      </c>
      <c r="F32" s="16">
        <f>I32+L32+M32+N32+O32+P32+Q32+R32+T32+U32+V32+Z32+AA32+AC32+AD32+AE32+AF32</f>
        <v>80</v>
      </c>
      <c r="G32" s="16">
        <f>X32+Y32+AB32+AG32+AH32</f>
        <v>0</v>
      </c>
      <c r="H32" s="17">
        <f>SUM(I32:AG32)</f>
        <v>109</v>
      </c>
      <c r="I32" s="16"/>
      <c r="J32" s="16"/>
      <c r="K32" s="16"/>
      <c r="L32" s="16"/>
      <c r="M32" s="16"/>
      <c r="N32" s="16"/>
      <c r="O32" s="16"/>
      <c r="P32" s="16"/>
      <c r="Q32" s="16">
        <v>80</v>
      </c>
      <c r="R32" s="16"/>
      <c r="S32" s="16">
        <v>29</v>
      </c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</row>
    <row r="33" spans="1:34" ht="14.25" customHeight="1" x14ac:dyDescent="0.25">
      <c r="A33" s="16">
        <v>28</v>
      </c>
      <c r="B33" s="16" t="s">
        <v>91</v>
      </c>
      <c r="C33" s="16" t="str">
        <f>CONCATENATE("[pr ", B33,"]")</f>
        <v>[pr Krifcok]</v>
      </c>
      <c r="D33" s="16" t="s">
        <v>72</v>
      </c>
      <c r="E33" s="16">
        <f>J33+K33+S33+W33</f>
        <v>27</v>
      </c>
      <c r="F33" s="16">
        <f>I33+L33+M33+N33+O33+P33+Q33+R33+T33+U33+V33+Z33+AA33+AC33+AD33+AE33+AF33</f>
        <v>55</v>
      </c>
      <c r="G33" s="16">
        <f>X33+Y33+AB33+AG33+AH33</f>
        <v>22</v>
      </c>
      <c r="H33" s="17">
        <f>SUM(I33:AG33)</f>
        <v>104</v>
      </c>
      <c r="I33" s="16"/>
      <c r="J33" s="16"/>
      <c r="K33" s="16">
        <v>12</v>
      </c>
      <c r="L33" s="16"/>
      <c r="M33" s="16"/>
      <c r="N33" s="16"/>
      <c r="O33" s="16"/>
      <c r="P33" s="16"/>
      <c r="Q33" s="16">
        <v>11</v>
      </c>
      <c r="R33" s="16">
        <v>11</v>
      </c>
      <c r="S33" s="16">
        <v>8</v>
      </c>
      <c r="T33" s="16">
        <v>10</v>
      </c>
      <c r="U33" s="16">
        <v>15</v>
      </c>
      <c r="V33" s="16">
        <v>8</v>
      </c>
      <c r="W33" s="16">
        <v>7</v>
      </c>
      <c r="X33" s="16"/>
      <c r="Y33" s="16">
        <v>22</v>
      </c>
      <c r="Z33" s="16"/>
      <c r="AA33" s="16"/>
      <c r="AB33" s="16"/>
      <c r="AC33" s="16"/>
      <c r="AD33" s="16"/>
      <c r="AE33" s="16"/>
      <c r="AF33" s="16"/>
      <c r="AG33" s="16"/>
      <c r="AH33" s="16"/>
    </row>
    <row r="34" spans="1:34" ht="14.25" customHeight="1" x14ac:dyDescent="0.25">
      <c r="A34" s="16">
        <v>32</v>
      </c>
      <c r="B34" s="16" t="s">
        <v>53</v>
      </c>
      <c r="C34" s="16" t="str">
        <f>CONCATENATE("[pr ", B34,"]")</f>
        <v>[pr Heel]</v>
      </c>
      <c r="D34" s="16" t="s">
        <v>75</v>
      </c>
      <c r="E34" s="16">
        <f>J34+K34+S34+W34</f>
        <v>19</v>
      </c>
      <c r="F34" s="16">
        <f>I34+L34+M34+N34+O34+P34+Q34+R34+T34+U34+V34+Z34+AA34+AC34+AD34+AE34+AF34</f>
        <v>59</v>
      </c>
      <c r="G34" s="16">
        <f>X34+Y34+AB34+AG34+AH34</f>
        <v>15</v>
      </c>
      <c r="H34" s="17">
        <f>SUM(I34:AG34)</f>
        <v>93</v>
      </c>
      <c r="I34" s="16">
        <v>14</v>
      </c>
      <c r="J34" s="16"/>
      <c r="K34" s="16">
        <v>2</v>
      </c>
      <c r="L34" s="16">
        <v>5</v>
      </c>
      <c r="M34" s="16"/>
      <c r="N34" s="16"/>
      <c r="O34" s="16"/>
      <c r="P34" s="16">
        <v>7</v>
      </c>
      <c r="Q34" s="16"/>
      <c r="R34" s="16">
        <v>3</v>
      </c>
      <c r="S34" s="16">
        <v>2</v>
      </c>
      <c r="T34" s="16">
        <v>3</v>
      </c>
      <c r="U34" s="16">
        <v>8</v>
      </c>
      <c r="V34" s="16">
        <v>4</v>
      </c>
      <c r="W34" s="16">
        <v>15</v>
      </c>
      <c r="X34" s="16">
        <v>4</v>
      </c>
      <c r="Y34" s="16">
        <v>6</v>
      </c>
      <c r="Z34" s="16"/>
      <c r="AA34" s="16">
        <v>15</v>
      </c>
      <c r="AB34" s="16">
        <v>5</v>
      </c>
      <c r="AC34" s="16"/>
      <c r="AD34" s="16"/>
      <c r="AE34" s="16"/>
      <c r="AF34" s="16"/>
      <c r="AG34" s="16"/>
      <c r="AH34" s="16"/>
    </row>
    <row r="35" spans="1:34" ht="14.25" customHeight="1" x14ac:dyDescent="0.25">
      <c r="A35" s="16">
        <v>58</v>
      </c>
      <c r="B35" s="16" t="s">
        <v>94</v>
      </c>
      <c r="C35" s="16" t="str">
        <f>CONCATENATE("[pr ", B35,"]")</f>
        <v>[pr Seba]</v>
      </c>
      <c r="D35" s="16"/>
      <c r="E35" s="16">
        <f>J35+K35+S35+W35</f>
        <v>0</v>
      </c>
      <c r="F35" s="16">
        <f>I35+L35+M35+N35+O35+P35+Q35+R35+T35+U35+V35+Z35+AA35+AC35+AD35+AE35+AF35</f>
        <v>74</v>
      </c>
      <c r="G35" s="16">
        <f>X35+Y35+AB35+AG35+AH35</f>
        <v>11</v>
      </c>
      <c r="H35" s="17">
        <f>SUM(I35:AG35)</f>
        <v>85</v>
      </c>
      <c r="I35" s="16"/>
      <c r="J35" s="16"/>
      <c r="K35" s="16"/>
      <c r="L35" s="16"/>
      <c r="M35" s="16"/>
      <c r="N35" s="16">
        <v>50</v>
      </c>
      <c r="O35" s="16">
        <v>4</v>
      </c>
      <c r="P35" s="16"/>
      <c r="Q35" s="16"/>
      <c r="R35" s="16"/>
      <c r="S35" s="16"/>
      <c r="T35" s="16"/>
      <c r="U35" s="16"/>
      <c r="V35" s="16"/>
      <c r="W35" s="16"/>
      <c r="X35" s="16"/>
      <c r="Y35" s="16">
        <v>7</v>
      </c>
      <c r="Z35" s="16">
        <v>6</v>
      </c>
      <c r="AA35" s="16">
        <v>14</v>
      </c>
      <c r="AB35" s="16">
        <v>4</v>
      </c>
      <c r="AC35" s="16"/>
      <c r="AD35" s="16"/>
      <c r="AE35" s="16"/>
      <c r="AF35" s="16"/>
      <c r="AG35" s="16"/>
      <c r="AH35" s="16"/>
    </row>
    <row r="36" spans="1:34" ht="14.25" customHeight="1" x14ac:dyDescent="0.25">
      <c r="A36" s="16">
        <v>24</v>
      </c>
      <c r="B36" s="16" t="s">
        <v>80</v>
      </c>
      <c r="C36" s="16" t="str">
        <f>CONCATENATE("[pr ", B36,"]")</f>
        <v>[pr Wrotki8778]</v>
      </c>
      <c r="D36" s="16"/>
      <c r="E36" s="16">
        <f>J36+K36+S36+W36</f>
        <v>36</v>
      </c>
      <c r="F36" s="16">
        <f>I36+L36+M36+N36+O36+P36+Q36+R36+T36+U36+V36+Z36+AA36+AC36+AD36+AE36+AF36</f>
        <v>43</v>
      </c>
      <c r="G36" s="16">
        <f>X36+Y36+AB36+AG36+AH36</f>
        <v>0</v>
      </c>
      <c r="H36" s="17">
        <f>SUM(I36:AG36)</f>
        <v>79</v>
      </c>
      <c r="I36" s="16"/>
      <c r="J36" s="16">
        <v>24</v>
      </c>
      <c r="K36" s="16">
        <v>12</v>
      </c>
      <c r="L36" s="16">
        <v>11</v>
      </c>
      <c r="M36" s="16">
        <v>9</v>
      </c>
      <c r="N36" s="16">
        <v>2</v>
      </c>
      <c r="O36" s="16"/>
      <c r="P36" s="16">
        <v>5</v>
      </c>
      <c r="Q36" s="16">
        <v>7</v>
      </c>
      <c r="R36" s="16">
        <v>9</v>
      </c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</row>
    <row r="37" spans="1:34" ht="14.25" customHeight="1" x14ac:dyDescent="0.25">
      <c r="A37" s="16">
        <v>29</v>
      </c>
      <c r="B37" s="16" t="s">
        <v>60</v>
      </c>
      <c r="C37" s="16" t="str">
        <f>CONCATENATE("[pr ", B37,"]")</f>
        <v>[pr Shigaru]</v>
      </c>
      <c r="D37" s="16"/>
      <c r="E37" s="16">
        <f>J37+K37+S37+W37</f>
        <v>27</v>
      </c>
      <c r="F37" s="16">
        <f>I37+L37+M37+N37+O37+P37+Q37+R37+T37+U37+V37+Z37+AA37+AC37+AD37+AE37+AF37</f>
        <v>30</v>
      </c>
      <c r="G37" s="16">
        <f>X37+Y37+AB37+AG37+AH37</f>
        <v>20</v>
      </c>
      <c r="H37" s="17">
        <f>SUM(I37:AG37)</f>
        <v>77</v>
      </c>
      <c r="I37" s="16">
        <v>8</v>
      </c>
      <c r="J37" s="16"/>
      <c r="K37" s="16">
        <v>12</v>
      </c>
      <c r="L37" s="16"/>
      <c r="M37" s="16"/>
      <c r="N37" s="16"/>
      <c r="O37" s="16"/>
      <c r="P37" s="16"/>
      <c r="Q37" s="16">
        <v>20</v>
      </c>
      <c r="R37" s="16"/>
      <c r="S37" s="16">
        <v>11</v>
      </c>
      <c r="T37" s="16"/>
      <c r="U37" s="16"/>
      <c r="V37" s="16">
        <v>2</v>
      </c>
      <c r="W37" s="16">
        <v>4</v>
      </c>
      <c r="X37" s="16">
        <v>11</v>
      </c>
      <c r="Y37" s="16">
        <v>9</v>
      </c>
      <c r="Z37" s="16"/>
      <c r="AA37" s="16"/>
      <c r="AB37" s="16"/>
      <c r="AC37" s="16"/>
      <c r="AD37" s="16"/>
      <c r="AE37" s="16"/>
      <c r="AF37" s="16"/>
      <c r="AG37" s="16"/>
      <c r="AH37" s="16"/>
    </row>
    <row r="38" spans="1:34" ht="14.25" customHeight="1" x14ac:dyDescent="0.25">
      <c r="A38" s="16">
        <v>42</v>
      </c>
      <c r="B38" s="16" t="s">
        <v>40</v>
      </c>
      <c r="C38" s="16" t="str">
        <f>CONCATENATE("[pr ", B38,"]")</f>
        <v>[pr Domin]</v>
      </c>
      <c r="D38" s="16"/>
      <c r="E38" s="16">
        <f>J38+K38+S38+W38</f>
        <v>7</v>
      </c>
      <c r="F38" s="16">
        <f>I38+L38+M38+N38+O38+P38+Q38+R38+T38+U38+V38+Z38+AA38+AC38+AD38+AE38+AF38</f>
        <v>66</v>
      </c>
      <c r="G38" s="16">
        <f>X38+Y38+AB38+AG38+AH38</f>
        <v>0</v>
      </c>
      <c r="H38" s="17">
        <f>SUM(I38:AG38)</f>
        <v>73</v>
      </c>
      <c r="I38" s="16">
        <v>50</v>
      </c>
      <c r="J38" s="16">
        <v>7</v>
      </c>
      <c r="K38" s="16"/>
      <c r="L38" s="16">
        <v>12</v>
      </c>
      <c r="M38" s="16">
        <v>4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</row>
    <row r="39" spans="1:34" ht="14.25" customHeight="1" x14ac:dyDescent="0.25">
      <c r="A39" s="16">
        <v>43</v>
      </c>
      <c r="B39" s="16" t="s">
        <v>106</v>
      </c>
      <c r="C39" s="16" t="str">
        <f>CONCATENATE("[pr ", B39,"]")</f>
        <v>[pr Damianox]</v>
      </c>
      <c r="D39" s="16"/>
      <c r="E39" s="16">
        <f>J39+K39+S39+W39</f>
        <v>7</v>
      </c>
      <c r="F39" s="16">
        <f>I39+L39+M39+N39+O39+P39+Q39+R39+T39+U39+V39+Z39+AA39+AC39+AD39+AE39+AF39</f>
        <v>39</v>
      </c>
      <c r="G39" s="16">
        <f>X39+Y39+AB39+AG39+AH39</f>
        <v>7</v>
      </c>
      <c r="H39" s="17">
        <f>SUM(I39:AG39)</f>
        <v>53</v>
      </c>
      <c r="I39" s="16"/>
      <c r="J39" s="16">
        <v>7</v>
      </c>
      <c r="K39" s="16"/>
      <c r="L39" s="16"/>
      <c r="M39" s="16"/>
      <c r="N39" s="16">
        <v>11</v>
      </c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>
        <v>12</v>
      </c>
      <c r="AA39" s="16">
        <v>16</v>
      </c>
      <c r="AB39" s="16">
        <v>7</v>
      </c>
      <c r="AC39" s="16"/>
      <c r="AD39" s="16"/>
      <c r="AE39" s="16"/>
      <c r="AF39" s="16"/>
      <c r="AG39" s="16"/>
      <c r="AH39" s="16"/>
    </row>
    <row r="40" spans="1:34" ht="14.25" customHeight="1" x14ac:dyDescent="0.25">
      <c r="A40" s="16">
        <v>59</v>
      </c>
      <c r="B40" s="16" t="s">
        <v>95</v>
      </c>
      <c r="C40" s="16" t="str">
        <f>CONCATENATE("[pr ", B40,"]")</f>
        <v>[pr Sebomur98]</v>
      </c>
      <c r="D40" s="16" t="s">
        <v>73</v>
      </c>
      <c r="E40" s="16">
        <f>J40+K40+S40+W40</f>
        <v>0</v>
      </c>
      <c r="F40" s="16">
        <f>I40+L40+M40+N40+O40+P40+Q40+R40+T40+U40+V40+Z40+AA40+AC40+AD40+AE40+AF40</f>
        <v>25</v>
      </c>
      <c r="G40" s="16">
        <f>X40+Y40+AB40+AG40+AH40</f>
        <v>20</v>
      </c>
      <c r="H40" s="17">
        <f>SUM(I40:AG40)</f>
        <v>45</v>
      </c>
      <c r="I40" s="16"/>
      <c r="J40" s="16"/>
      <c r="K40" s="16"/>
      <c r="L40" s="16"/>
      <c r="M40" s="16">
        <v>3</v>
      </c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>
        <v>7</v>
      </c>
      <c r="Y40" s="16">
        <v>10</v>
      </c>
      <c r="Z40" s="16">
        <v>9</v>
      </c>
      <c r="AA40" s="16">
        <v>13</v>
      </c>
      <c r="AB40" s="16">
        <v>3</v>
      </c>
      <c r="AC40" s="16"/>
      <c r="AD40" s="16"/>
      <c r="AE40" s="16"/>
      <c r="AF40" s="16"/>
      <c r="AG40" s="16"/>
      <c r="AH40" s="16"/>
    </row>
    <row r="41" spans="1:34" ht="14.25" customHeight="1" x14ac:dyDescent="0.25">
      <c r="A41" s="16">
        <v>41</v>
      </c>
      <c r="B41" s="16" t="s">
        <v>132</v>
      </c>
      <c r="C41" s="16" t="str">
        <f>CONCATENATE("[pr ", B41,"]")</f>
        <v>[pr Smoku]</v>
      </c>
      <c r="D41" s="16"/>
      <c r="E41" s="16">
        <f>J41+K41+S41+W41</f>
        <v>11</v>
      </c>
      <c r="F41" s="16">
        <f>I41+L41+M41+N41+O41+P41+Q41+R41+T41+U41+V41+Z41+AA41+AC41+AD41+AE41+AF41</f>
        <v>17</v>
      </c>
      <c r="G41" s="16">
        <f>X41+Y41+AB41+AG41+AH41</f>
        <v>16</v>
      </c>
      <c r="H41" s="17">
        <f>SUM(I41:AG41)</f>
        <v>44</v>
      </c>
      <c r="I41" s="16"/>
      <c r="J41" s="16">
        <v>11</v>
      </c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>
        <v>8</v>
      </c>
      <c r="Z41" s="16">
        <v>7</v>
      </c>
      <c r="AA41" s="16">
        <v>10</v>
      </c>
      <c r="AB41" s="16">
        <v>8</v>
      </c>
      <c r="AC41" s="16"/>
      <c r="AD41" s="16"/>
      <c r="AE41" s="16"/>
      <c r="AF41" s="16"/>
      <c r="AG41" s="16"/>
      <c r="AH41" s="16"/>
    </row>
    <row r="42" spans="1:34" ht="14.25" customHeight="1" x14ac:dyDescent="0.25">
      <c r="A42" s="16">
        <v>60</v>
      </c>
      <c r="B42" s="16" t="s">
        <v>99</v>
      </c>
      <c r="C42" s="16" t="str">
        <f>CONCATENATE("[pr ", B42,"]")</f>
        <v>[pr SirLeon]</v>
      </c>
      <c r="D42" s="16"/>
      <c r="E42" s="16">
        <f>J42+K42+S42+W42</f>
        <v>0</v>
      </c>
      <c r="F42" s="16">
        <f>I42+L42+M42+N42+O42+P42+Q42+R42+T42+U42+V42+Z42+AA42+AC42+AD42+AE42+AF42</f>
        <v>42</v>
      </c>
      <c r="G42" s="16">
        <f>X42+Y42+AB42+AG42+AH42</f>
        <v>0</v>
      </c>
      <c r="H42" s="17">
        <f>SUM(I42:AG42)</f>
        <v>42</v>
      </c>
      <c r="I42" s="16"/>
      <c r="J42" s="16"/>
      <c r="K42" s="16"/>
      <c r="L42" s="16">
        <v>2</v>
      </c>
      <c r="M42" s="16"/>
      <c r="N42" s="16">
        <v>4</v>
      </c>
      <c r="O42" s="16">
        <v>4</v>
      </c>
      <c r="P42" s="16"/>
      <c r="Q42" s="16"/>
      <c r="R42" s="16"/>
      <c r="S42" s="16"/>
      <c r="T42" s="16"/>
      <c r="U42" s="16">
        <v>22</v>
      </c>
      <c r="V42" s="16">
        <v>10</v>
      </c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</row>
    <row r="43" spans="1:34" ht="14.25" customHeight="1" x14ac:dyDescent="0.25">
      <c r="A43" s="16">
        <v>61</v>
      </c>
      <c r="B43" s="16" t="s">
        <v>143</v>
      </c>
      <c r="C43" s="16" t="str">
        <f>CONCATENATE("[pr ", B43,"]")</f>
        <v>[pr Daro0717]</v>
      </c>
      <c r="D43" s="16"/>
      <c r="E43" s="16">
        <f>J43+K43+S43+W43</f>
        <v>0</v>
      </c>
      <c r="F43" s="16">
        <f>I43+L43+M43+N43+O43+P43+Q43+R43+T43+U43+V43+Z43+AA43+AC43+AD43+AE43+AF43</f>
        <v>12</v>
      </c>
      <c r="G43" s="16">
        <f>X43+Y43+AB43+AG43+AH43</f>
        <v>29</v>
      </c>
      <c r="H43" s="17">
        <f>SUM(I43:AG43)</f>
        <v>41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>
        <v>29</v>
      </c>
      <c r="Z43" s="16">
        <v>12</v>
      </c>
      <c r="AA43" s="16"/>
      <c r="AB43" s="16"/>
      <c r="AC43" s="16"/>
      <c r="AD43" s="16"/>
      <c r="AE43" s="16"/>
      <c r="AF43" s="16"/>
      <c r="AG43" s="16"/>
      <c r="AH43" s="16"/>
    </row>
    <row r="44" spans="1:34" ht="14.25" customHeight="1" x14ac:dyDescent="0.25">
      <c r="A44" s="16">
        <v>62</v>
      </c>
      <c r="B44" s="16" t="s">
        <v>65</v>
      </c>
      <c r="C44" s="16" t="str">
        <f>CONCATENATE("[pr ", B44,"]")</f>
        <v>[pr MajstereQ]</v>
      </c>
      <c r="D44" s="16"/>
      <c r="E44" s="16">
        <f>J44+K44+S44+W44</f>
        <v>0</v>
      </c>
      <c r="F44" s="16">
        <f>I44+L44+M44+N44+O44+P44+Q44+R44+T44+U44+V44+Z44+AA44+AC44+AD44+AE44+AF44</f>
        <v>29</v>
      </c>
      <c r="G44" s="16">
        <f>X44+Y44+AB44+AG44+AH44</f>
        <v>12</v>
      </c>
      <c r="H44" s="17">
        <f>SUM(I44:AG44)</f>
        <v>41</v>
      </c>
      <c r="I44" s="16">
        <v>3</v>
      </c>
      <c r="J44" s="16"/>
      <c r="K44" s="16"/>
      <c r="L44" s="16"/>
      <c r="M44" s="16"/>
      <c r="N44" s="16"/>
      <c r="O44" s="16"/>
      <c r="P44" s="16"/>
      <c r="Q44" s="16"/>
      <c r="R44" s="16">
        <v>2</v>
      </c>
      <c r="S44" s="16"/>
      <c r="T44" s="16">
        <v>4</v>
      </c>
      <c r="U44" s="16"/>
      <c r="V44" s="16"/>
      <c r="W44" s="16"/>
      <c r="X44" s="16"/>
      <c r="Y44" s="16"/>
      <c r="Z44" s="16">
        <v>20</v>
      </c>
      <c r="AA44" s="16"/>
      <c r="AB44" s="16">
        <v>12</v>
      </c>
      <c r="AC44" s="16"/>
      <c r="AD44" s="16"/>
      <c r="AE44" s="16"/>
      <c r="AF44" s="16"/>
      <c r="AG44" s="16"/>
      <c r="AH44" s="16"/>
    </row>
    <row r="45" spans="1:34" ht="14.25" customHeight="1" x14ac:dyDescent="0.25">
      <c r="A45" s="16">
        <v>34</v>
      </c>
      <c r="B45" s="16" t="s">
        <v>52</v>
      </c>
      <c r="C45" s="16" t="str">
        <f>CONCATENATE("[pr ", B45,"]")</f>
        <v>[pr mati]</v>
      </c>
      <c r="D45" s="16" t="s">
        <v>73</v>
      </c>
      <c r="E45" s="16">
        <f>J45+K45+S45+W45</f>
        <v>15</v>
      </c>
      <c r="F45" s="16">
        <f>I45+L45+M45+N45+O45+P45+Q45+R45+T45+U45+V45+Z45+AA45+AC45+AD45+AE45+AF45</f>
        <v>20</v>
      </c>
      <c r="G45" s="16">
        <f>X45+Y45+AB45+AG45+AH45</f>
        <v>5</v>
      </c>
      <c r="H45" s="17">
        <f>SUM(I45:AG45)</f>
        <v>40</v>
      </c>
      <c r="I45" s="16">
        <v>15</v>
      </c>
      <c r="J45" s="16"/>
      <c r="K45" s="16">
        <v>2</v>
      </c>
      <c r="L45" s="16"/>
      <c r="M45" s="16"/>
      <c r="N45" s="16"/>
      <c r="O45" s="16"/>
      <c r="P45" s="16"/>
      <c r="Q45" s="16"/>
      <c r="R45" s="16"/>
      <c r="S45" s="16">
        <v>5</v>
      </c>
      <c r="T45" s="16">
        <v>1</v>
      </c>
      <c r="U45" s="16">
        <v>4</v>
      </c>
      <c r="V45" s="16"/>
      <c r="W45" s="16">
        <v>8</v>
      </c>
      <c r="X45" s="16">
        <v>5</v>
      </c>
      <c r="Y45" s="16"/>
      <c r="Z45" s="16"/>
      <c r="AA45" s="16"/>
      <c r="AB45" s="16"/>
      <c r="AC45" s="16"/>
      <c r="AD45" s="16"/>
      <c r="AE45" s="16"/>
      <c r="AF45" s="16"/>
      <c r="AG45" s="16"/>
      <c r="AH45" s="16"/>
    </row>
    <row r="46" spans="1:34" ht="14.25" customHeight="1" x14ac:dyDescent="0.25">
      <c r="A46" s="16">
        <v>63</v>
      </c>
      <c r="B46" s="16" t="s">
        <v>140</v>
      </c>
      <c r="C46" s="16" t="str">
        <f>CONCATENATE("[pr ", B46,"]")</f>
        <v>[pr ansVer1989]</v>
      </c>
      <c r="D46" s="16"/>
      <c r="E46" s="16">
        <f>J46+K46+S46+W46</f>
        <v>0</v>
      </c>
      <c r="F46" s="16">
        <f>I46+L46+M46+N46+O46+P46+Q46+R46+T46+U46+V46+Z46+AA46+AC46+AD46+AE46+AF46</f>
        <v>29</v>
      </c>
      <c r="G46" s="16">
        <f>X46+Y46+AB46+AG46+AH46</f>
        <v>9</v>
      </c>
      <c r="H46" s="17">
        <f>SUM(I46:AG46)</f>
        <v>38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>
        <v>7</v>
      </c>
      <c r="V46" s="16"/>
      <c r="W46" s="16"/>
      <c r="X46" s="16">
        <v>2</v>
      </c>
      <c r="Y46" s="16">
        <v>1</v>
      </c>
      <c r="Z46" s="16">
        <v>10</v>
      </c>
      <c r="AA46" s="16">
        <v>12</v>
      </c>
      <c r="AB46" s="16">
        <v>6</v>
      </c>
      <c r="AC46" s="16"/>
      <c r="AD46" s="16"/>
      <c r="AE46" s="16"/>
      <c r="AF46" s="16"/>
      <c r="AG46" s="16"/>
      <c r="AH46" s="16"/>
    </row>
    <row r="47" spans="1:34" ht="14.25" customHeight="1" x14ac:dyDescent="0.25">
      <c r="A47" s="16">
        <v>33</v>
      </c>
      <c r="B47" s="16" t="s">
        <v>81</v>
      </c>
      <c r="C47" s="16" t="str">
        <f>CONCATENATE("[pr ", B47,"]")</f>
        <v>[pr .slander.86]</v>
      </c>
      <c r="D47" s="16"/>
      <c r="E47" s="16">
        <f>J47+K47+S47+W47</f>
        <v>16</v>
      </c>
      <c r="F47" s="16">
        <f>I47+L47+M47+N47+O47+P47+Q47+R47+T47+U47+V47+Z47+AA47+AC47+AD47+AE47+AF47</f>
        <v>19</v>
      </c>
      <c r="G47" s="16">
        <f>X47+Y47+AB47+AG47+AH47</f>
        <v>2</v>
      </c>
      <c r="H47" s="17">
        <f>SUM(I47:AG47)</f>
        <v>37</v>
      </c>
      <c r="I47" s="16"/>
      <c r="J47" s="16">
        <v>14</v>
      </c>
      <c r="K47" s="16">
        <v>2</v>
      </c>
      <c r="L47" s="16">
        <v>16</v>
      </c>
      <c r="M47" s="16">
        <v>3</v>
      </c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>
        <v>2</v>
      </c>
      <c r="AC47" s="16"/>
      <c r="AD47" s="16"/>
      <c r="AE47" s="16"/>
      <c r="AF47" s="16"/>
      <c r="AG47" s="16"/>
      <c r="AH47" s="16"/>
    </row>
    <row r="48" spans="1:34" ht="14.25" customHeight="1" x14ac:dyDescent="0.25">
      <c r="A48" s="16">
        <v>35</v>
      </c>
      <c r="B48" s="16" t="s">
        <v>93</v>
      </c>
      <c r="C48" s="16" t="str">
        <f>CONCATENATE("[pr ", B48,"]")</f>
        <v>[pr Zielukiller]</v>
      </c>
      <c r="D48" s="16"/>
      <c r="E48" s="16">
        <f>J48+K48+S48+W48</f>
        <v>13</v>
      </c>
      <c r="F48" s="16">
        <f>I48+L48+M48+N48+O48+P48+Q48+R48+T48+U48+V48+Z48+AA48+AC48+AD48+AE48+AF48</f>
        <v>22</v>
      </c>
      <c r="G48" s="16">
        <f>X48+Y48+AB48+AG48+AH48</f>
        <v>0</v>
      </c>
      <c r="H48" s="17">
        <f>SUM(I48:AG48)</f>
        <v>35</v>
      </c>
      <c r="I48" s="16"/>
      <c r="J48" s="16"/>
      <c r="K48" s="16">
        <v>5</v>
      </c>
      <c r="L48" s="16"/>
      <c r="M48" s="16"/>
      <c r="N48" s="16"/>
      <c r="O48" s="16">
        <v>13</v>
      </c>
      <c r="P48" s="16"/>
      <c r="Q48" s="16"/>
      <c r="R48" s="16">
        <v>2</v>
      </c>
      <c r="S48" s="16">
        <v>8</v>
      </c>
      <c r="T48" s="16">
        <v>7</v>
      </c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</row>
    <row r="49" spans="1:34" ht="14.25" customHeight="1" x14ac:dyDescent="0.25">
      <c r="A49" s="16">
        <v>37</v>
      </c>
      <c r="B49" s="16" t="s">
        <v>61</v>
      </c>
      <c r="C49" s="16" t="str">
        <f>CONCATENATE("[pr ", B49,"]")</f>
        <v>[pr Marszal]</v>
      </c>
      <c r="D49" s="16"/>
      <c r="E49" s="16">
        <f>J49+K49+S49+W49</f>
        <v>12</v>
      </c>
      <c r="F49" s="16">
        <f>I49+L49+M49+N49+O49+P49+Q49+R49+T49+U49+V49+Z49+AA49+AC49+AD49+AE49+AF49</f>
        <v>8</v>
      </c>
      <c r="G49" s="16">
        <f>X49+Y49+AB49+AG49+AH49</f>
        <v>13</v>
      </c>
      <c r="H49" s="17">
        <f>SUM(I49:AG49)</f>
        <v>33</v>
      </c>
      <c r="I49" s="16">
        <v>8</v>
      </c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>
        <v>12</v>
      </c>
      <c r="X49" s="16">
        <v>13</v>
      </c>
      <c r="Y49" s="16"/>
      <c r="Z49" s="16"/>
      <c r="AA49" s="16"/>
      <c r="AB49" s="16"/>
      <c r="AC49" s="16"/>
      <c r="AD49" s="16"/>
      <c r="AE49" s="16"/>
      <c r="AF49" s="16"/>
      <c r="AG49" s="16"/>
      <c r="AH49" s="16"/>
    </row>
    <row r="50" spans="1:34" ht="14.25" customHeight="1" x14ac:dyDescent="0.25">
      <c r="A50" s="16">
        <v>36</v>
      </c>
      <c r="B50" s="16" t="s">
        <v>85</v>
      </c>
      <c r="C50" s="16" t="str">
        <f>CONCATENATE("[pr ", B50,"]")</f>
        <v>[pr Cruzzz112]</v>
      </c>
      <c r="D50" s="16" t="s">
        <v>75</v>
      </c>
      <c r="E50" s="16">
        <f>J50+K50+S50+W50</f>
        <v>13</v>
      </c>
      <c r="F50" s="16">
        <f>I50+L50+M50+N50+O50+P50+Q50+R50+T50+U50+V50+Z50+AA50+AC50+AD50+AE50+AF50</f>
        <v>17</v>
      </c>
      <c r="G50" s="16">
        <f>X50+Y50+AB50+AG50+AH50</f>
        <v>0</v>
      </c>
      <c r="H50" s="17">
        <f>SUM(I50:AG50)</f>
        <v>30</v>
      </c>
      <c r="I50" s="16"/>
      <c r="J50" s="16">
        <v>7</v>
      </c>
      <c r="K50" s="16">
        <v>6</v>
      </c>
      <c r="L50" s="16"/>
      <c r="M50" s="16">
        <v>1</v>
      </c>
      <c r="N50" s="16"/>
      <c r="O50" s="16"/>
      <c r="P50" s="16"/>
      <c r="Q50" s="16">
        <v>3</v>
      </c>
      <c r="R50" s="16">
        <v>13</v>
      </c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</row>
    <row r="51" spans="1:34" ht="14.25" customHeight="1" x14ac:dyDescent="0.25">
      <c r="A51" s="16">
        <v>47</v>
      </c>
      <c r="B51" s="16" t="s">
        <v>139</v>
      </c>
      <c r="C51" s="16" t="str">
        <f>CONCATENATE("[pr ", B51,"]")</f>
        <v>[pr Semen]</v>
      </c>
      <c r="D51" s="16"/>
      <c r="E51" s="16">
        <f>J51+K51+S51+W51</f>
        <v>6</v>
      </c>
      <c r="F51" s="16">
        <f>I51+L51+M51+N51+O51+P51+Q51+R51+T51+U51+V51+Z51+AA51+AC51+AD51+AE51+AF51</f>
        <v>0</v>
      </c>
      <c r="G51" s="16">
        <f>X51+Y51+AB51+AG51+AH51</f>
        <v>23</v>
      </c>
      <c r="H51" s="17">
        <f>SUM(I51:AG51)</f>
        <v>29</v>
      </c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>
        <v>6</v>
      </c>
      <c r="X51" s="16">
        <v>9</v>
      </c>
      <c r="Y51" s="16">
        <v>5</v>
      </c>
      <c r="Z51" s="16"/>
      <c r="AA51" s="16"/>
      <c r="AB51" s="16">
        <v>9</v>
      </c>
      <c r="AC51" s="16"/>
      <c r="AD51" s="16"/>
      <c r="AE51" s="16"/>
      <c r="AF51" s="16"/>
      <c r="AG51" s="16"/>
      <c r="AH51" s="16"/>
    </row>
    <row r="52" spans="1:34" ht="14.25" customHeight="1" x14ac:dyDescent="0.25">
      <c r="A52" s="16">
        <v>44</v>
      </c>
      <c r="B52" s="16" t="s">
        <v>128</v>
      </c>
      <c r="C52" s="16" t="str">
        <f>CONCATENATE("[pr ", B52,"]")</f>
        <v>[pr Kamil Stoch]</v>
      </c>
      <c r="D52" s="16"/>
      <c r="E52" s="16">
        <f>J52+K52+S52+W52</f>
        <v>7</v>
      </c>
      <c r="F52" s="16">
        <f>I52+L52+M52+N52+O52+P52+Q52+R52+T52+U52+V52+Z52+AA52+AC52+AD52+AE52+AF52</f>
        <v>20</v>
      </c>
      <c r="G52" s="16">
        <f>X52+Y52+AB52+AG52+AH52</f>
        <v>0</v>
      </c>
      <c r="H52" s="17">
        <f>SUM(I52:AG52)</f>
        <v>27</v>
      </c>
      <c r="I52" s="16"/>
      <c r="J52" s="16">
        <v>7</v>
      </c>
      <c r="K52" s="16"/>
      <c r="L52" s="16">
        <v>14</v>
      </c>
      <c r="M52" s="16"/>
      <c r="N52" s="16"/>
      <c r="O52" s="16">
        <v>6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</row>
    <row r="53" spans="1:34" ht="14.25" customHeight="1" x14ac:dyDescent="0.25">
      <c r="A53" s="16">
        <v>45</v>
      </c>
      <c r="B53" s="16" t="s">
        <v>100</v>
      </c>
      <c r="C53" s="16" t="str">
        <f>CONCATENATE("[pr ", B53,"]")</f>
        <v>[pr FraQu]</v>
      </c>
      <c r="D53" s="16"/>
      <c r="E53" s="16">
        <f>J53+K53+S53+W53</f>
        <v>7</v>
      </c>
      <c r="F53" s="16">
        <f>I53+L53+M53+N53+O53+P53+Q53+R53+T53+U53+V53+Z53+AA53+AC53+AD53+AE53+AF53</f>
        <v>19</v>
      </c>
      <c r="G53" s="16">
        <f>X53+Y53+AB53+AG53+AH53</f>
        <v>0</v>
      </c>
      <c r="H53" s="17">
        <f>SUM(I53:AG53)</f>
        <v>26</v>
      </c>
      <c r="I53" s="16"/>
      <c r="J53" s="16">
        <v>7</v>
      </c>
      <c r="K53" s="16"/>
      <c r="L53" s="16"/>
      <c r="M53" s="16"/>
      <c r="N53" s="16"/>
      <c r="O53" s="16"/>
      <c r="P53" s="16">
        <v>2</v>
      </c>
      <c r="Q53" s="16">
        <v>3</v>
      </c>
      <c r="R53" s="16">
        <v>14</v>
      </c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</row>
    <row r="54" spans="1:34" ht="14.25" customHeight="1" x14ac:dyDescent="0.25">
      <c r="A54" s="16">
        <v>64</v>
      </c>
      <c r="B54" s="16" t="s">
        <v>87</v>
      </c>
      <c r="C54" s="16" t="str">
        <f>CONCATENATE("[pr ", B54,"]")</f>
        <v>[pr Rajmek]</v>
      </c>
      <c r="D54" s="16"/>
      <c r="E54" s="16">
        <f>J54+K54+S54+W54</f>
        <v>0</v>
      </c>
      <c r="F54" s="16">
        <f>I54+L54+M54+N54+O54+P54+Q54+R54+T54+U54+V54+Z54+AA54+AC54+AD54+AE54+AF54</f>
        <v>26</v>
      </c>
      <c r="G54" s="16">
        <f>X54+Y54+AB54+AG54+AH54</f>
        <v>0</v>
      </c>
      <c r="H54" s="17">
        <f>SUM(I54:AG54)</f>
        <v>26</v>
      </c>
      <c r="I54" s="16"/>
      <c r="J54" s="16"/>
      <c r="K54" s="16"/>
      <c r="L54" s="16"/>
      <c r="M54" s="16"/>
      <c r="N54" s="16"/>
      <c r="O54" s="16"/>
      <c r="P54" s="16">
        <v>26</v>
      </c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</row>
    <row r="55" spans="1:34" ht="14.25" customHeight="1" x14ac:dyDescent="0.25">
      <c r="A55" s="16">
        <v>65</v>
      </c>
      <c r="B55" s="16" t="s">
        <v>84</v>
      </c>
      <c r="C55" s="16" t="str">
        <f>CONCATENATE("[pr ", B55,"]")</f>
        <v>[pr Dexter55]</v>
      </c>
      <c r="D55" s="16"/>
      <c r="E55" s="16">
        <f>J55+K55+S55+W55</f>
        <v>0</v>
      </c>
      <c r="F55" s="16">
        <f>I55+L55+M55+N55+O55+P55+Q55+R55+T55+U55+V55+Z55+AA55+AC55+AD55+AE55+AF55</f>
        <v>24</v>
      </c>
      <c r="G55" s="16">
        <f>X55+Y55+AB55+AG55+AH55</f>
        <v>0</v>
      </c>
      <c r="H55" s="17">
        <f>SUM(I55:AG55)</f>
        <v>24</v>
      </c>
      <c r="I55" s="16"/>
      <c r="J55" s="16"/>
      <c r="K55" s="16"/>
      <c r="L55" s="16"/>
      <c r="M55" s="16"/>
      <c r="N55" s="16">
        <v>6</v>
      </c>
      <c r="O55" s="16"/>
      <c r="P55" s="16">
        <v>11</v>
      </c>
      <c r="Q55" s="16">
        <v>7</v>
      </c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</row>
    <row r="56" spans="1:34" ht="14.25" customHeight="1" x14ac:dyDescent="0.25">
      <c r="A56" s="16">
        <v>72</v>
      </c>
      <c r="B56" s="16" t="s">
        <v>62</v>
      </c>
      <c r="C56" s="16" t="str">
        <f>CONCATENATE("[pr ", B56,"]")</f>
        <v>[pr wu0a]</v>
      </c>
      <c r="D56" s="16" t="s">
        <v>71</v>
      </c>
      <c r="E56" s="16">
        <f>J56+K56+S56+W56</f>
        <v>0</v>
      </c>
      <c r="F56" s="16">
        <f>I56+L56+M56+N56+O56+P56+Q56+R56+T56+U56+V56+Z56+AA56+AC56+AD56+AE56+AF56</f>
        <v>21</v>
      </c>
      <c r="G56" s="16">
        <f>X56+Y56+AB56+AG56+AH56</f>
        <v>0</v>
      </c>
      <c r="H56" s="17">
        <f>SUM(I56:AG56)</f>
        <v>21</v>
      </c>
      <c r="I56" s="16">
        <v>6</v>
      </c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>
        <v>6</v>
      </c>
      <c r="V56" s="16">
        <v>9</v>
      </c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</row>
    <row r="57" spans="1:34" ht="14.25" customHeight="1" x14ac:dyDescent="0.25">
      <c r="A57" s="16">
        <v>38</v>
      </c>
      <c r="B57" s="16" t="s">
        <v>138</v>
      </c>
      <c r="C57" s="16" t="str">
        <f>CONCATENATE("[pr ", B57,"]")</f>
        <v>[pr Czikel]</v>
      </c>
      <c r="D57" s="16"/>
      <c r="E57" s="16">
        <f>J57+K57+S57+W57</f>
        <v>12</v>
      </c>
      <c r="F57" s="16">
        <f>I57+L57+M57+N57+O57+P57+Q57+R57+T57+U57+V57+Z57+AA57+AC57+AD57+AE57+AF57</f>
        <v>0</v>
      </c>
      <c r="G57" s="16">
        <f>X57+Y57+AB57+AG57+AH57</f>
        <v>7</v>
      </c>
      <c r="H57" s="17">
        <f>SUM(I57:AG57)</f>
        <v>19</v>
      </c>
      <c r="I57" s="16"/>
      <c r="J57" s="16">
        <v>7</v>
      </c>
      <c r="K57" s="16">
        <v>5</v>
      </c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>
        <v>3</v>
      </c>
      <c r="Y57" s="16">
        <v>4</v>
      </c>
      <c r="Z57" s="16"/>
      <c r="AA57" s="16"/>
      <c r="AB57" s="16"/>
      <c r="AC57" s="16"/>
      <c r="AD57" s="16"/>
      <c r="AE57" s="16"/>
      <c r="AF57" s="16"/>
      <c r="AG57" s="16"/>
      <c r="AH57" s="16"/>
    </row>
    <row r="58" spans="1:34" ht="14.25" customHeight="1" x14ac:dyDescent="0.25">
      <c r="A58" s="16">
        <v>39</v>
      </c>
      <c r="B58" s="16" t="s">
        <v>137</v>
      </c>
      <c r="C58" s="16" t="str">
        <f>CONCATENATE("[pr ", B58,"]")</f>
        <v>[pr kj13]</v>
      </c>
      <c r="D58" s="16"/>
      <c r="E58" s="16">
        <f>J58+K58+S58+W58</f>
        <v>12</v>
      </c>
      <c r="F58" s="16">
        <f>I58+L58+M58+N58+O58+P58+Q58+R58+T58+U58+V58+Z58+AA58+AC58+AD58+AE58+AF58</f>
        <v>5</v>
      </c>
      <c r="G58" s="16">
        <f>X58+Y58+AB58+AG58+AH58</f>
        <v>0</v>
      </c>
      <c r="H58" s="17">
        <f>SUM(I58:AG58)</f>
        <v>17</v>
      </c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>
        <v>5</v>
      </c>
      <c r="U58" s="16"/>
      <c r="V58" s="16"/>
      <c r="W58" s="16">
        <v>12</v>
      </c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</row>
    <row r="59" spans="1:34" ht="14.25" customHeight="1" x14ac:dyDescent="0.25">
      <c r="A59" s="16">
        <v>66</v>
      </c>
      <c r="B59" s="16" t="s">
        <v>145</v>
      </c>
      <c r="C59" s="16" t="str">
        <f>CONCATENATE("[pr ", B59,"]")</f>
        <v>[pr mateuszsz91]</v>
      </c>
      <c r="D59" s="16"/>
      <c r="E59" s="16">
        <f>J59+K59+S59+W59</f>
        <v>0</v>
      </c>
      <c r="F59" s="16">
        <f>I59+L59+M59+N59+O59+P59+Q59+R59+T59+U59+V59+Z59+AA59+AC59+AD59+AE59+AF59</f>
        <v>16</v>
      </c>
      <c r="G59" s="16">
        <f>X59+Y59+AB59+AG59+AH59</f>
        <v>0</v>
      </c>
      <c r="H59" s="17">
        <f>SUM(I59:AG59)</f>
        <v>16</v>
      </c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>
        <v>5</v>
      </c>
      <c r="AA59" s="16">
        <v>11</v>
      </c>
      <c r="AB59" s="16"/>
      <c r="AC59" s="16"/>
      <c r="AD59" s="16"/>
      <c r="AE59" s="16"/>
      <c r="AF59" s="16"/>
      <c r="AG59" s="16"/>
      <c r="AH59" s="16"/>
    </row>
    <row r="60" spans="1:34" ht="14.25" customHeight="1" x14ac:dyDescent="0.25">
      <c r="A60" s="16">
        <v>68</v>
      </c>
      <c r="B60" s="16" t="s">
        <v>114</v>
      </c>
      <c r="C60" s="16" t="str">
        <f>CONCATENATE("[pr ", B60,"]")</f>
        <v>[pr fighter132]</v>
      </c>
      <c r="D60" s="16"/>
      <c r="E60" s="16">
        <f>J60+K60+S60+W60</f>
        <v>0</v>
      </c>
      <c r="F60" s="16">
        <f>I60+L60+M60+N60+O60+P60+Q60+R60+T60+U60+V60+Z60+AA60+AC60+AD60+AE60+AF60</f>
        <v>8</v>
      </c>
      <c r="G60" s="16">
        <f>X60+Y60+AB60+AG60+AH60</f>
        <v>2</v>
      </c>
      <c r="H60" s="17">
        <f>SUM(I60:AG60)</f>
        <v>10</v>
      </c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>
        <v>2</v>
      </c>
      <c r="Y60" s="16"/>
      <c r="Z60" s="16">
        <v>8</v>
      </c>
      <c r="AA60" s="16"/>
      <c r="AB60" s="16"/>
      <c r="AC60" s="16"/>
      <c r="AD60" s="16"/>
      <c r="AE60" s="16"/>
      <c r="AF60" s="16"/>
      <c r="AG60" s="16"/>
      <c r="AH60" s="16"/>
    </row>
    <row r="61" spans="1:34" ht="14.25" customHeight="1" x14ac:dyDescent="0.25">
      <c r="A61" s="16">
        <v>49</v>
      </c>
      <c r="B61" s="16" t="s">
        <v>83</v>
      </c>
      <c r="C61" s="16" t="str">
        <f>CONCATENATE("[pr ", B61,"]")</f>
        <v>[pr szqdniq]</v>
      </c>
      <c r="D61" s="16"/>
      <c r="E61" s="16">
        <f>J61+K61+S61+W61</f>
        <v>5</v>
      </c>
      <c r="F61" s="16">
        <f>I61+L61+M61+N61+O61+P61+Q61+R61+T61+U61+V61+Z61+AA61+AC61+AD61+AE61+AF61</f>
        <v>7</v>
      </c>
      <c r="G61" s="16">
        <f>X61+Y61+AB61+AG61+AH61</f>
        <v>0</v>
      </c>
      <c r="H61" s="17">
        <f>SUM(I61:AG61)</f>
        <v>12</v>
      </c>
      <c r="I61" s="16"/>
      <c r="J61" s="16"/>
      <c r="K61" s="16">
        <v>5</v>
      </c>
      <c r="L61" s="16"/>
      <c r="M61" s="16"/>
      <c r="N61" s="16">
        <v>7</v>
      </c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</row>
    <row r="62" spans="1:34" ht="14.25" customHeight="1" x14ac:dyDescent="0.25">
      <c r="A62" s="16">
        <v>50</v>
      </c>
      <c r="B62" s="16" t="s">
        <v>58</v>
      </c>
      <c r="C62" s="16" t="str">
        <f>CONCATENATE("[pr ", B62,"]")</f>
        <v>[pr DiStefano]</v>
      </c>
      <c r="D62" s="16"/>
      <c r="E62" s="16">
        <f>J62+K62+S62+W62</f>
        <v>5</v>
      </c>
      <c r="F62" s="16">
        <f>I62+L62+M62+N62+O62+P62+Q62+R62+T62+U62+V62+Z62+AA62+AC62+AD62+AE62+AF62</f>
        <v>6</v>
      </c>
      <c r="G62" s="16">
        <f>X62+Y62+AB62+AG62+AH62</f>
        <v>0</v>
      </c>
      <c r="H62" s="17">
        <f>SUM(I62:AG62)</f>
        <v>11</v>
      </c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>
        <v>5</v>
      </c>
      <c r="T62" s="16"/>
      <c r="U62" s="16">
        <v>5</v>
      </c>
      <c r="V62" s="16">
        <v>1</v>
      </c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</row>
    <row r="63" spans="1:34" ht="14.25" customHeight="1" x14ac:dyDescent="0.25">
      <c r="A63" s="16">
        <v>53</v>
      </c>
      <c r="B63" s="16" t="s">
        <v>63</v>
      </c>
      <c r="C63" s="16" t="str">
        <f>CONCATENATE("[pr ", B63,"]")</f>
        <v>[pr Daro44]</v>
      </c>
      <c r="D63" s="16"/>
      <c r="E63" s="16">
        <f>J63+K63+S63+W63</f>
        <v>2</v>
      </c>
      <c r="F63" s="16">
        <f>I63+L63+M63+N63+O63+P63+Q63+R63+T63+U63+V63+Z63+AA63+AC63+AD63+AE63+AF63</f>
        <v>9</v>
      </c>
      <c r="G63" s="16">
        <f>X63+Y63+AB63+AG63+AH63</f>
        <v>0</v>
      </c>
      <c r="H63" s="17">
        <f>SUM(I63:AG63)</f>
        <v>11</v>
      </c>
      <c r="I63" s="16">
        <v>6</v>
      </c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>
        <v>3</v>
      </c>
      <c r="V63" s="16"/>
      <c r="W63" s="16">
        <v>2</v>
      </c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</row>
    <row r="64" spans="1:34" ht="14.25" customHeight="1" x14ac:dyDescent="0.25">
      <c r="A64" s="16">
        <v>55</v>
      </c>
      <c r="B64" s="16" t="s">
        <v>142</v>
      </c>
      <c r="C64" s="16" t="str">
        <f>CONCATENATE("[pr ", B64,"]")</f>
        <v>[pr matiszek12]</v>
      </c>
      <c r="D64" s="16"/>
      <c r="E64" s="16">
        <f>J64+K64+S64+W64</f>
        <v>1</v>
      </c>
      <c r="F64" s="16">
        <f>I64+L64+M64+N64+O64+P64+Q64+R64+T64+U64+V64+Z64+AA64+AC64+AD64+AE64+AF64</f>
        <v>10</v>
      </c>
      <c r="G64" s="16">
        <f>X64+Y64+AB64+AG64+AH64</f>
        <v>0</v>
      </c>
      <c r="H64" s="17">
        <f>SUM(I64:AG64)</f>
        <v>11</v>
      </c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>
        <v>1</v>
      </c>
      <c r="X64" s="16"/>
      <c r="Y64" s="16"/>
      <c r="Z64" s="16">
        <v>2</v>
      </c>
      <c r="AA64" s="16">
        <v>8</v>
      </c>
      <c r="AB64" s="16"/>
      <c r="AC64" s="16"/>
      <c r="AD64" s="16"/>
      <c r="AE64" s="16"/>
      <c r="AF64" s="16"/>
      <c r="AG64" s="16"/>
      <c r="AH64" s="16"/>
    </row>
    <row r="65" spans="1:34" ht="14.25" customHeight="1" x14ac:dyDescent="0.25">
      <c r="A65" s="16">
        <v>69</v>
      </c>
      <c r="B65" s="16" t="s">
        <v>176</v>
      </c>
      <c r="C65" s="16" t="str">
        <f>CONCATENATE("[pr ", B65,"]")</f>
        <v>[pr Di Stefano]</v>
      </c>
      <c r="D65" s="16"/>
      <c r="E65" s="16">
        <f>J65+K65+S65+W65</f>
        <v>0</v>
      </c>
      <c r="F65" s="16">
        <f>I65+L65+M65+N65+O65+P65+Q65+R65+T65+U65+V65+Z65+AA65+AC65+AD65+AE65+AF65</f>
        <v>10</v>
      </c>
      <c r="G65" s="16">
        <f>X65+Y65+AB65+AG65+AH65</f>
        <v>0</v>
      </c>
      <c r="H65" s="17">
        <f>SUM(I65:AG65)</f>
        <v>10</v>
      </c>
      <c r="I65" s="16">
        <v>10</v>
      </c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</row>
    <row r="66" spans="1:34" ht="14.25" customHeight="1" x14ac:dyDescent="0.25">
      <c r="A66" s="16">
        <v>70</v>
      </c>
      <c r="B66" s="26" t="s">
        <v>177</v>
      </c>
      <c r="C66" s="16" t="str">
        <f>CONCATENATE("[pr ", B66,"]")</f>
        <v>[pr SkiBartus1994
24 ]</v>
      </c>
      <c r="D66" s="16"/>
      <c r="E66" s="16">
        <f>J66+K66+S66+W66</f>
        <v>0</v>
      </c>
      <c r="F66" s="16">
        <f>I66+L66+M66+N66+O66+P66+Q66+R66+T66+U66+V66+Z66+AA66+AC66+AD66+AE66+AF66</f>
        <v>9</v>
      </c>
      <c r="G66" s="16">
        <f>X66+Y66+AB66+AG66+AH66</f>
        <v>0</v>
      </c>
      <c r="H66" s="17">
        <f>SUM(I66:AG66)</f>
        <v>9</v>
      </c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>
        <v>9</v>
      </c>
      <c r="AB66" s="16"/>
      <c r="AC66" s="16"/>
      <c r="AD66" s="16"/>
      <c r="AE66" s="16"/>
      <c r="AF66" s="16"/>
      <c r="AG66" s="16"/>
      <c r="AH66" s="16"/>
    </row>
    <row r="67" spans="1:34" ht="14.25" customHeight="1" x14ac:dyDescent="0.25">
      <c r="A67" s="16">
        <v>46</v>
      </c>
      <c r="B67" s="16" t="s">
        <v>92</v>
      </c>
      <c r="C67" s="16" t="str">
        <f>CONCATENATE("[pr ", B67,"]")</f>
        <v>[pr Robert Hrgota]</v>
      </c>
      <c r="D67" s="16"/>
      <c r="E67" s="16">
        <f>J67+K67+S67+W67</f>
        <v>7</v>
      </c>
      <c r="F67" s="16">
        <f>I67+L67+M67+N67+O67+P67+Q67+R67+T67+U67+V67+Z67+AA67+AC67+AD67+AE67+AF67</f>
        <v>0</v>
      </c>
      <c r="G67" s="16">
        <f>X67+Y67+AB67+AG67+AH67</f>
        <v>0</v>
      </c>
      <c r="H67" s="17">
        <f>SUM(I67:AG67)</f>
        <v>7</v>
      </c>
      <c r="I67" s="16"/>
      <c r="J67" s="16">
        <v>7</v>
      </c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</row>
    <row r="68" spans="1:34" ht="14.25" customHeight="1" x14ac:dyDescent="0.25">
      <c r="A68" s="16">
        <v>71</v>
      </c>
      <c r="B68" s="16" t="s">
        <v>110</v>
      </c>
      <c r="C68" s="16" t="str">
        <f>CONCATENATE("[pr ", B68,"]")</f>
        <v>[pr Squaw]</v>
      </c>
      <c r="D68" s="16"/>
      <c r="E68" s="16">
        <f>J68+K68+S68+W68</f>
        <v>0</v>
      </c>
      <c r="F68" s="16">
        <f>I68+L68+M68+N68+O68+P68+Q68+R68+T68+U68+V68+Z68+AA68+AC68+AD68+AE68+AF68</f>
        <v>4</v>
      </c>
      <c r="G68" s="16">
        <f>X68+Y68+AB68+AG68+AH68</f>
        <v>3</v>
      </c>
      <c r="H68" s="17">
        <f>SUM(I68:AG68)</f>
        <v>7</v>
      </c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>
        <v>3</v>
      </c>
      <c r="Z68" s="16">
        <v>4</v>
      </c>
      <c r="AA68" s="16"/>
      <c r="AB68" s="16"/>
      <c r="AC68" s="16"/>
      <c r="AD68" s="16"/>
      <c r="AE68" s="16"/>
      <c r="AF68" s="16"/>
      <c r="AG68" s="16"/>
      <c r="AH68" s="16"/>
    </row>
    <row r="69" spans="1:34" ht="14.25" customHeight="1" x14ac:dyDescent="0.25">
      <c r="A69" s="16">
        <v>48</v>
      </c>
      <c r="B69" s="16" t="s">
        <v>86</v>
      </c>
      <c r="C69" s="16" t="str">
        <f>CONCATENATE("[pr ", B69,"]")</f>
        <v>[pr MicHu]</v>
      </c>
      <c r="D69" s="16"/>
      <c r="E69" s="16">
        <f>J69+K69+S69+W69</f>
        <v>6</v>
      </c>
      <c r="F69" s="16">
        <f>I69+L69+M69+N69+O69+P69+Q69+R69+T69+U69+V69+Z69+AA69+AC69+AD69+AE69+AF69</f>
        <v>0</v>
      </c>
      <c r="G69" s="16">
        <f>X69+Y69+AB69+AG69+AH69</f>
        <v>0</v>
      </c>
      <c r="H69" s="17">
        <f>SUM(I69:AG69)</f>
        <v>6</v>
      </c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>
        <v>6</v>
      </c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</row>
    <row r="70" spans="1:34" ht="14.25" customHeight="1" x14ac:dyDescent="0.25">
      <c r="A70" s="16">
        <v>73</v>
      </c>
      <c r="B70" s="16" t="s">
        <v>112</v>
      </c>
      <c r="C70" s="16" t="str">
        <f>CONCATENATE("[pr ", B70,"]")</f>
        <v>[pr szalkos2]</v>
      </c>
      <c r="D70" s="16"/>
      <c r="E70" s="16">
        <f>J70+K70+S70+W70</f>
        <v>0</v>
      </c>
      <c r="F70" s="16">
        <f>I70+L70+M70+N70+O70+P70+Q70+R70+T70+U70+V70+Z70+AA70+AC70+AD70+AE70+AF70</f>
        <v>6</v>
      </c>
      <c r="G70" s="16">
        <f>X70+Y70+AB70+AG70+AH70</f>
        <v>0</v>
      </c>
      <c r="H70" s="17">
        <f>SUM(I70:AG70)</f>
        <v>6</v>
      </c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>
        <v>3</v>
      </c>
      <c r="V70" s="16"/>
      <c r="W70" s="16"/>
      <c r="X70" s="16"/>
      <c r="Y70" s="16"/>
      <c r="Z70" s="16">
        <v>3</v>
      </c>
      <c r="AA70" s="16"/>
      <c r="AB70" s="16"/>
      <c r="AC70" s="16"/>
      <c r="AD70" s="16"/>
      <c r="AE70" s="16"/>
      <c r="AF70" s="16"/>
      <c r="AG70" s="16"/>
      <c r="AH70" s="16"/>
    </row>
    <row r="71" spans="1:34" ht="14.25" customHeight="1" x14ac:dyDescent="0.25">
      <c r="A71" s="16">
        <v>51</v>
      </c>
      <c r="B71" s="16" t="s">
        <v>141</v>
      </c>
      <c r="C71" s="16" t="str">
        <f>CONCATENATE("[pr ", B71,"]")</f>
        <v>[pr barton533]</v>
      </c>
      <c r="D71" s="16"/>
      <c r="E71" s="16">
        <f>J71+K71+S71+W71</f>
        <v>4</v>
      </c>
      <c r="F71" s="16">
        <f>I71+L71+M71+N71+O71+P71+Q71+R71+T71+U71+V71+Z71+AA71+AC71+AD71+AE71+AF71</f>
        <v>0</v>
      </c>
      <c r="G71" s="16">
        <f>X71+Y71+AB71+AG71+AH71</f>
        <v>0</v>
      </c>
      <c r="H71" s="17">
        <f>SUM(I71:AG71)</f>
        <v>4</v>
      </c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>
        <v>4</v>
      </c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</row>
    <row r="72" spans="1:34" ht="16.5" customHeight="1" x14ac:dyDescent="0.25">
      <c r="A72" s="16">
        <v>52</v>
      </c>
      <c r="B72" s="16" t="s">
        <v>135</v>
      </c>
      <c r="C72" s="16" t="str">
        <f>CONCATENATE("[pr ", B72,"]")</f>
        <v>[pr thekoks]</v>
      </c>
      <c r="D72" s="16"/>
      <c r="E72" s="16">
        <f>J72+K72+S72+W72</f>
        <v>3</v>
      </c>
      <c r="F72" s="16">
        <f>I72+L72+M72+N72+O72+P72+Q72+R72+T72+U72+V72+Z72+AA72+AC72+AD72+AE72+AF72</f>
        <v>0</v>
      </c>
      <c r="G72" s="16">
        <f>X72+Y72+AB72+AG72+AH72</f>
        <v>0</v>
      </c>
      <c r="H72" s="17">
        <f>SUM(I72:AG72)</f>
        <v>3</v>
      </c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>
        <v>3</v>
      </c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</row>
    <row r="73" spans="1:34" ht="14.25" customHeight="1" x14ac:dyDescent="0.25">
      <c r="A73" s="16">
        <v>74</v>
      </c>
      <c r="B73" s="16" t="s">
        <v>130</v>
      </c>
      <c r="C73" s="16" t="str">
        <f>CONCATENATE("[pr ", B73,"]")</f>
        <v>[pr mipoc]</v>
      </c>
      <c r="D73" s="16"/>
      <c r="E73" s="16">
        <f>J73+K73+S73+W73</f>
        <v>0</v>
      </c>
      <c r="F73" s="16">
        <f>I73+L73+M73+N73+O73+P73+Q73+R73+T73+U73+V73+Z73+AA73+AC73+AD73+AE73+AF73</f>
        <v>3</v>
      </c>
      <c r="G73" s="16">
        <f>X73+Y73+AB73+AG73+AH73</f>
        <v>0</v>
      </c>
      <c r="H73" s="17">
        <f>SUM(I73:AG73)</f>
        <v>3</v>
      </c>
      <c r="I73" s="16"/>
      <c r="J73" s="16"/>
      <c r="K73" s="16"/>
      <c r="L73" s="16"/>
      <c r="M73" s="16"/>
      <c r="N73" s="16"/>
      <c r="O73" s="16"/>
      <c r="P73" s="16"/>
      <c r="Q73" s="16">
        <v>3</v>
      </c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</row>
    <row r="74" spans="1:34" ht="14.25" customHeight="1" x14ac:dyDescent="0.25">
      <c r="A74" s="16">
        <v>54</v>
      </c>
      <c r="B74" s="16" t="s">
        <v>136</v>
      </c>
      <c r="C74" s="16" t="str">
        <f>CONCATENATE("[pr ", B74,"]")</f>
        <v>[pr Bodzisio]</v>
      </c>
      <c r="D74" s="16"/>
      <c r="E74" s="16">
        <f>J74+K74+S74+W74</f>
        <v>2</v>
      </c>
      <c r="F74" s="16">
        <f>I74+L74+M74+N74+O74+P74+Q74+R74+T74+U74+V74+Z74+AA74+AC74+AD74+AE74+AF74</f>
        <v>0</v>
      </c>
      <c r="G74" s="16">
        <f>X74+Y74+AB74+AG74+AH74</f>
        <v>0</v>
      </c>
      <c r="H74" s="17">
        <f>SUM(I74:AG74)</f>
        <v>2</v>
      </c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>
        <v>2</v>
      </c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</row>
    <row r="75" spans="1:34" ht="14.25" customHeight="1" x14ac:dyDescent="0.25">
      <c r="A75" s="16">
        <v>75</v>
      </c>
      <c r="B75" s="16" t="s">
        <v>144</v>
      </c>
      <c r="C75" s="16" t="str">
        <f>CONCATENATE("[pr ", B75,"]")</f>
        <v>[pr Mikos]</v>
      </c>
      <c r="D75" s="16"/>
      <c r="E75" s="16">
        <f>J75+K75+S75+W75</f>
        <v>0</v>
      </c>
      <c r="F75" s="16">
        <f>I75+L75+M75+N75+O75+P75+Q75+R75+T75+U75+V75+Z75+AA75+AC75+AD75+AE75+AF75</f>
        <v>0</v>
      </c>
      <c r="G75" s="16">
        <f>X75+Y75+AB75+AG75+AH75</f>
        <v>2</v>
      </c>
      <c r="H75" s="17">
        <f>SUM(I75:AG75)</f>
        <v>2</v>
      </c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>
        <v>2</v>
      </c>
      <c r="Z75" s="16"/>
      <c r="AA75" s="16"/>
      <c r="AB75" s="16"/>
      <c r="AC75" s="16"/>
      <c r="AD75" s="16"/>
      <c r="AE75" s="16"/>
      <c r="AF75" s="16"/>
      <c r="AG75" s="16"/>
      <c r="AH75" s="16"/>
    </row>
    <row r="76" spans="1:34" ht="14.25" customHeight="1" x14ac:dyDescent="0.25">
      <c r="A76" s="16">
        <v>76</v>
      </c>
      <c r="B76" s="16" t="s">
        <v>133</v>
      </c>
      <c r="C76" s="16" t="str">
        <f>CONCATENATE("[pr ", B76,"]")</f>
        <v>[pr kamil15]</v>
      </c>
      <c r="D76" s="16"/>
      <c r="E76" s="16">
        <f>J76+K76+S76+W76</f>
        <v>0</v>
      </c>
      <c r="F76" s="16">
        <f>I76+L76+M76+N76+O76+P76+Q76+R76+T76+U76+V76+Z76+AA76+AC76+AD76+AE76+AF76</f>
        <v>1</v>
      </c>
      <c r="G76" s="16">
        <f>X76+Y76+AB76+AG76+AH76</f>
        <v>0</v>
      </c>
      <c r="H76" s="17">
        <f>SUM(I76:AG76)</f>
        <v>1</v>
      </c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>
        <v>1</v>
      </c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</row>
    <row r="77" spans="1:34" ht="14.25" customHeight="1" x14ac:dyDescent="0.25">
      <c r="A77" s="16">
        <v>77</v>
      </c>
      <c r="B77" s="16" t="s">
        <v>146</v>
      </c>
      <c r="C77" s="16" t="str">
        <f>CONCATENATE("[pr ", B77,"]")</f>
        <v>[pr ŚIKORA]</v>
      </c>
      <c r="D77" s="16"/>
      <c r="E77" s="16">
        <f>J77+K77+S77+W77</f>
        <v>0</v>
      </c>
      <c r="F77" s="16">
        <f>I77+L77+M77+N77+O77+P77+Q77+R77+T77+U77+V77+Z77+AA77+AC77+AD77+AE77+AF77</f>
        <v>1</v>
      </c>
      <c r="G77" s="16">
        <f>X77+Y77+AB77+AG77+AH77</f>
        <v>0</v>
      </c>
      <c r="H77" s="17">
        <f>SUM(I77:AG77)</f>
        <v>1</v>
      </c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>
        <v>1</v>
      </c>
      <c r="AA77" s="16"/>
      <c r="AB77" s="16"/>
      <c r="AC77" s="16"/>
      <c r="AD77" s="16"/>
      <c r="AE77" s="16"/>
      <c r="AF77" s="16"/>
      <c r="AG77" s="16"/>
      <c r="AH77" s="16"/>
    </row>
    <row r="78" spans="1:34" ht="14.25" customHeight="1" x14ac:dyDescent="0.25">
      <c r="A78" s="16">
        <v>78</v>
      </c>
      <c r="B78" s="16" t="s">
        <v>175</v>
      </c>
      <c r="C78" s="16" t="str">
        <f>CONCATENATE("[pr ", B78,"]")</f>
        <v>[pr creative]</v>
      </c>
      <c r="D78" s="16"/>
      <c r="E78" s="16">
        <f>J78+K78+S78+W78</f>
        <v>0</v>
      </c>
      <c r="F78" s="16">
        <f>I78+L78+M78+N78+O78+P78+Q78+R78+T78+U78+V78+Z78+AA78+AC78+AD78+AE78+AF78</f>
        <v>1</v>
      </c>
      <c r="G78" s="16">
        <f>X78+Y78+AB78+AG78+AH78</f>
        <v>0</v>
      </c>
      <c r="H78" s="17">
        <f>SUM(I78:AG78)</f>
        <v>1</v>
      </c>
      <c r="I78" s="16">
        <v>1</v>
      </c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</row>
    <row r="79" spans="1:34" ht="14.25" customHeight="1" x14ac:dyDescent="0.25">
      <c r="A79" s="16">
        <v>79</v>
      </c>
      <c r="B79" s="16" t="s">
        <v>111</v>
      </c>
      <c r="C79" s="16" t="str">
        <f>CONCATENATE("[pr ", B79,"]")</f>
        <v>[pr Krystian1202]</v>
      </c>
      <c r="D79" s="16"/>
      <c r="E79" s="16">
        <f>J79+K79+S79+W79</f>
        <v>0</v>
      </c>
      <c r="F79" s="16">
        <f>I79+L79+M79+N79+O79+P79+Q79+R79+T79+U79+V79+Z79+AA79+AC79+AD79+AE79+AF79</f>
        <v>0</v>
      </c>
      <c r="G79" s="16">
        <f>X79+Y79+AB79+AG79+AH79</f>
        <v>1</v>
      </c>
      <c r="H79" s="17">
        <f>SUM(I79:AG79)</f>
        <v>1</v>
      </c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>
        <v>1</v>
      </c>
      <c r="AC79" s="16"/>
      <c r="AD79" s="16"/>
      <c r="AE79" s="16"/>
      <c r="AF79" s="16"/>
      <c r="AG79" s="16"/>
      <c r="AH79" s="16"/>
    </row>
    <row r="80" spans="1:34" ht="14.25" customHeight="1" x14ac:dyDescent="0.25">
      <c r="A80" s="16">
        <v>80</v>
      </c>
      <c r="B80" s="16" t="s">
        <v>97</v>
      </c>
      <c r="C80" s="16" t="str">
        <f>CONCATENATE("[pr ", B80,"]")</f>
        <v>[pr matmatrix121]</v>
      </c>
      <c r="D80" s="16"/>
      <c r="E80" s="16">
        <f>J80+K80+S80+W80</f>
        <v>0</v>
      </c>
      <c r="F80" s="16">
        <f>I80+L80+M80+N80+O80+P80+Q80+R80+T80+U80+V80+Z80+AA80+AC80+AD80+AE80+AF80</f>
        <v>5</v>
      </c>
      <c r="G80" s="16">
        <f>X80+Y80+AB80+AG80+AH80</f>
        <v>0</v>
      </c>
      <c r="H80" s="17">
        <f>SUM(I80:AG80)</f>
        <v>5</v>
      </c>
      <c r="I80" s="16"/>
      <c r="J80" s="16"/>
      <c r="K80" s="16"/>
      <c r="L80" s="16">
        <v>5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</row>
    <row r="81" spans="1:34" ht="14.25" customHeight="1" x14ac:dyDescent="0.25">
      <c r="A81" s="16">
        <v>81</v>
      </c>
      <c r="B81" s="16"/>
      <c r="C81" s="16" t="str">
        <f>CONCATENATE("[pr ", B81,"]")</f>
        <v>[pr ]</v>
      </c>
      <c r="D81" s="16"/>
      <c r="E81" s="16">
        <f>J81+K81+S81+W81</f>
        <v>0</v>
      </c>
      <c r="F81" s="16">
        <f>I81+L81+M81+N81+O81+P81+Q81+R81+T81+U81+V81+Z81+AA81+AC81+AD81+AE81+AF81</f>
        <v>0</v>
      </c>
      <c r="G81" s="16">
        <f>X81+Y81+AB81+AG81+AH81</f>
        <v>0</v>
      </c>
      <c r="H81" s="16">
        <f>SUM(I81:AG81)</f>
        <v>0</v>
      </c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</row>
    <row r="82" spans="1:34" ht="14.25" customHeight="1" x14ac:dyDescent="0.25">
      <c r="A82" s="16">
        <v>82</v>
      </c>
      <c r="B82" s="16"/>
      <c r="C82" s="16" t="str">
        <f>CONCATENATE("[pr ", B82,"]")</f>
        <v>[pr ]</v>
      </c>
      <c r="D82" s="16"/>
      <c r="E82" s="16">
        <f>J82+K82+S82+W82</f>
        <v>0</v>
      </c>
      <c r="F82" s="16">
        <f>I82+L82+M82+N82+O82+P82+Q82+R82+T82+U82+V82+Z82+AA82+AC82+AD82+AE82+AF82</f>
        <v>0</v>
      </c>
      <c r="G82" s="16">
        <f>X82+Y82+AB82+AG82+AH82</f>
        <v>0</v>
      </c>
      <c r="H82" s="17">
        <f>SUM(I82:AG82)</f>
        <v>0</v>
      </c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</row>
    <row r="83" spans="1:34" ht="14.25" customHeight="1" x14ac:dyDescent="0.25">
      <c r="A83" s="16">
        <v>83</v>
      </c>
      <c r="B83" s="16"/>
      <c r="C83" s="16" t="str">
        <f>CONCATENATE("[pr ", B83,"]")</f>
        <v>[pr ]</v>
      </c>
      <c r="D83" s="16"/>
      <c r="E83" s="16">
        <f>J83+K83+S83+W83</f>
        <v>0</v>
      </c>
      <c r="F83" s="16">
        <f>I83+L83+M83+N83+O83+P83+Q83+R83+T83+U83+V83+Z83+AA83+AC83+AD83+AE83+AF83</f>
        <v>0</v>
      </c>
      <c r="G83" s="16">
        <f>X83+Y83+AB83+AG83+AH83</f>
        <v>0</v>
      </c>
      <c r="H83" s="17">
        <f>SUM(I83:AG83)</f>
        <v>0</v>
      </c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</row>
    <row r="84" spans="1:34" ht="14.25" customHeight="1" x14ac:dyDescent="0.25">
      <c r="A84" s="16">
        <v>84</v>
      </c>
      <c r="B84" s="16"/>
      <c r="C84" s="16" t="str">
        <f>CONCATENATE("[pr ", B84,"]")</f>
        <v>[pr ]</v>
      </c>
      <c r="D84" s="16"/>
      <c r="E84" s="16">
        <f>J84+K84+S84+W84</f>
        <v>0</v>
      </c>
      <c r="F84" s="16">
        <f>I84+L84+M84+N84+O84+P84+Q84+R84+T84+U84+V84+Z84+AA84+AC84+AD84+AE84+AF84</f>
        <v>0</v>
      </c>
      <c r="G84" s="16">
        <f>X84+Y84+AB84+AG84+AH84</f>
        <v>0</v>
      </c>
      <c r="H84" s="17">
        <f>SUM(I84:AG84)</f>
        <v>0</v>
      </c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</row>
    <row r="85" spans="1:34" ht="14.25" customHeight="1" x14ac:dyDescent="0.25">
      <c r="A85" s="16">
        <v>85</v>
      </c>
      <c r="B85" s="16"/>
      <c r="C85" s="16" t="str">
        <f>CONCATENATE("[pr ", B85,"]")</f>
        <v>[pr ]</v>
      </c>
      <c r="D85" s="16"/>
      <c r="E85" s="16">
        <f>J85+K85+S85+W85</f>
        <v>0</v>
      </c>
      <c r="F85" s="16">
        <f>I85+L85+M85+N85+O85+P85+Q85+R85+T85+U85+V85+Z85+AA85+AC85+AD85+AE85+AF85</f>
        <v>0</v>
      </c>
      <c r="G85" s="16">
        <f>X85+Y85+AB85+AG85+AH85</f>
        <v>0</v>
      </c>
      <c r="H85" s="17">
        <f>SUM(I85:AG85)</f>
        <v>0</v>
      </c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</row>
    <row r="86" spans="1:34" ht="14.25" customHeight="1" x14ac:dyDescent="0.25">
      <c r="A86" s="16">
        <v>86</v>
      </c>
      <c r="B86" s="16"/>
      <c r="C86" s="16" t="str">
        <f>CONCATENATE("[pr ", B86,"]")</f>
        <v>[pr ]</v>
      </c>
      <c r="D86" s="16"/>
      <c r="E86" s="16">
        <f>J86+K86+S86+W86</f>
        <v>0</v>
      </c>
      <c r="F86" s="16">
        <f>I86+L86+M86+N86+O86+P86+Q86+R86+T86+U86+V86+Z86+AA86+AC86+AD86+AE86+AF86</f>
        <v>0</v>
      </c>
      <c r="G86" s="16">
        <f>X86+Y86+AB86+AG86+AH86</f>
        <v>0</v>
      </c>
      <c r="H86" s="17">
        <f>SUM(I86:AG86)</f>
        <v>0</v>
      </c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</row>
    <row r="87" spans="1:34" ht="14.25" customHeight="1" x14ac:dyDescent="0.25">
      <c r="A87" s="16">
        <v>87</v>
      </c>
      <c r="B87" s="16"/>
      <c r="C87" s="16" t="str">
        <f>CONCATENATE("[pr ", B87,"]")</f>
        <v>[pr ]</v>
      </c>
      <c r="D87" s="16"/>
      <c r="E87" s="16">
        <f>J87+K87+S87+W87</f>
        <v>0</v>
      </c>
      <c r="F87" s="16">
        <f>I87+L87+M87+N87+O87+P87+Q87+R87+T87+U87+V87+Z87+AA87+AC87+AD87+AE87+AF87</f>
        <v>0</v>
      </c>
      <c r="G87" s="16">
        <f>X87+Y87+AB87+AG87+AH87</f>
        <v>0</v>
      </c>
      <c r="H87" s="17">
        <f>SUM(I87:AG87)</f>
        <v>0</v>
      </c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</row>
    <row r="88" spans="1:34" ht="14.25" customHeight="1" x14ac:dyDescent="0.25">
      <c r="A88" s="16">
        <v>88</v>
      </c>
      <c r="B88" s="16"/>
      <c r="C88" s="16" t="str">
        <f>CONCATENATE("[pr ", B88,"]")</f>
        <v>[pr ]</v>
      </c>
      <c r="D88" s="16"/>
      <c r="E88" s="16">
        <f>J88+K88+S88+W88</f>
        <v>0</v>
      </c>
      <c r="F88" s="16">
        <f>I88+L88+M88+N88+O88+P88+Q88+R88+T88+U88+V88+Z88+AA88+AC88+AD88+AE88+AF88</f>
        <v>0</v>
      </c>
      <c r="G88" s="16">
        <f>X88+Y88+AB88+AG88+AH88</f>
        <v>0</v>
      </c>
      <c r="H88" s="17">
        <f>SUM(I88:AG88)</f>
        <v>0</v>
      </c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</row>
    <row r="89" spans="1:34" ht="14.25" customHeight="1" x14ac:dyDescent="0.25">
      <c r="A89" s="16">
        <v>89</v>
      </c>
      <c r="B89" s="16"/>
      <c r="C89" s="16" t="str">
        <f>CONCATENATE("[pr ", B89,"]")</f>
        <v>[pr ]</v>
      </c>
      <c r="D89" s="16"/>
      <c r="E89" s="16">
        <f>J89+K89+S89+W89</f>
        <v>0</v>
      </c>
      <c r="F89" s="16">
        <f>I89+L89+M89+N89+O89+P89+Q89+R89+T89+U89+V89+Z89+AA89+AC89+AD89+AE89+AF89</f>
        <v>0</v>
      </c>
      <c r="G89" s="16">
        <f>X89+Y89+AB89+AG89+AH89</f>
        <v>0</v>
      </c>
      <c r="H89" s="17">
        <f>SUM(I89:AG89)</f>
        <v>0</v>
      </c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</row>
    <row r="90" spans="1:34" ht="14.25" customHeight="1" x14ac:dyDescent="0.25">
      <c r="A90" s="16">
        <v>90</v>
      </c>
      <c r="B90" s="16"/>
      <c r="C90" s="16" t="str">
        <f>CONCATENATE("[pr ", B90,"]")</f>
        <v>[pr ]</v>
      </c>
      <c r="D90" s="16"/>
      <c r="E90" s="16">
        <f>J90+K90+S90+W90</f>
        <v>0</v>
      </c>
      <c r="F90" s="16">
        <f>I90+L90+M90+N90+O90+P90+Q90+R90+T90+U90+V90+Z90+AA90+AC90+AD90+AE90+AF90</f>
        <v>0</v>
      </c>
      <c r="G90" s="16">
        <f>X90+Y90+AB90+AG90+AH90</f>
        <v>0</v>
      </c>
      <c r="H90" s="17">
        <f>SUM(I90:AG90)</f>
        <v>0</v>
      </c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</row>
    <row r="91" spans="1:34" ht="14.25" customHeight="1" x14ac:dyDescent="0.25">
      <c r="A91" s="16">
        <v>91</v>
      </c>
      <c r="B91" s="16"/>
      <c r="C91" s="16" t="str">
        <f>CONCATENATE("[pr ", B91,"]")</f>
        <v>[pr ]</v>
      </c>
      <c r="D91" s="16"/>
      <c r="E91" s="16">
        <f>J91+K91+S91+W91</f>
        <v>0</v>
      </c>
      <c r="F91" s="16">
        <f>I91+L91+M91+N91+O91+P91+Q91+R91+T91+U91+V91+Z91+AA91+AC91+AD91+AE91+AF91</f>
        <v>0</v>
      </c>
      <c r="G91" s="16">
        <f>X91+Y91+AB91+AG91+AH91</f>
        <v>0</v>
      </c>
      <c r="H91" s="17">
        <f>SUM(I91:AG91)</f>
        <v>0</v>
      </c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</row>
    <row r="92" spans="1:34" ht="14.25" customHeight="1" x14ac:dyDescent="0.25">
      <c r="A92" s="16">
        <v>72</v>
      </c>
      <c r="B92" s="16"/>
      <c r="C92" s="16" t="str">
        <f>CONCATENATE("[pr ", B92,"]")</f>
        <v>[pr ]</v>
      </c>
      <c r="D92" s="16"/>
      <c r="E92" s="16">
        <f>J92+K92+S92+W92</f>
        <v>0</v>
      </c>
      <c r="F92" s="16">
        <f>I92+L92+M92+N92+O92+P92+Q92+R92+T92+U92+V92+Z92+AA92+AC92+AD92+AE92+AF92</f>
        <v>0</v>
      </c>
      <c r="G92" s="16">
        <f>X92+Y92+AB92+AG92+AH92</f>
        <v>0</v>
      </c>
      <c r="H92" s="17">
        <f>SUM(I92:AG92)</f>
        <v>0</v>
      </c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</row>
    <row r="93" spans="1:34" ht="14.25" customHeight="1" x14ac:dyDescent="0.25">
      <c r="H93" s="28"/>
    </row>
    <row r="94" spans="1:34" ht="14.25" customHeight="1" x14ac:dyDescent="0.25">
      <c r="B94" s="2"/>
      <c r="C94" s="2"/>
    </row>
    <row r="95" spans="1:34" ht="14.25" customHeight="1" x14ac:dyDescent="0.25">
      <c r="B95" s="2"/>
      <c r="C95" s="2"/>
    </row>
    <row r="96" spans="1:34" ht="14.25" customHeight="1" x14ac:dyDescent="0.25">
      <c r="B96" s="2"/>
      <c r="C96" s="2"/>
    </row>
    <row r="97" spans="2:3" ht="14.25" customHeight="1" x14ac:dyDescent="0.25">
      <c r="B97" s="2"/>
      <c r="C97" s="2"/>
    </row>
    <row r="98" spans="2:3" ht="14.25" customHeight="1" x14ac:dyDescent="0.25">
      <c r="B98" s="2"/>
      <c r="C98" s="2"/>
    </row>
    <row r="99" spans="2:3" ht="14.25" customHeight="1" x14ac:dyDescent="0.25">
      <c r="B99" s="2"/>
      <c r="C99" s="2"/>
    </row>
    <row r="100" spans="2:3" ht="14.25" customHeight="1" x14ac:dyDescent="0.25">
      <c r="B100" s="2"/>
      <c r="C100" s="2"/>
    </row>
    <row r="101" spans="2:3" ht="14.25" customHeight="1" x14ac:dyDescent="0.25">
      <c r="B101" s="2"/>
      <c r="C101" s="2"/>
    </row>
  </sheetData>
  <sortState ref="B2:Z77">
    <sortCondition descending="1" ref="H2:H77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6"/>
  <sheetViews>
    <sheetView zoomScale="90" zoomScaleNormal="90" workbookViewId="0">
      <pane xSplit="3" topLeftCell="W1" activePane="topRight" state="frozen"/>
      <selection pane="topRight" activeCell="C6" sqref="C6"/>
    </sheetView>
  </sheetViews>
  <sheetFormatPr defaultColWidth="15.7109375" defaultRowHeight="14.25" customHeight="1" x14ac:dyDescent="0.2"/>
  <cols>
    <col min="1" max="1" width="6.28515625" style="19" customWidth="1"/>
    <col min="2" max="2" width="35.7109375" style="19" customWidth="1"/>
    <col min="3" max="3" width="15.7109375" style="19"/>
    <col min="4" max="6" width="15.7109375" style="19" customWidth="1"/>
    <col min="7" max="7" width="15.7109375" style="19"/>
    <col min="8" max="8" width="15.7109375" style="19" customWidth="1"/>
    <col min="9" max="18" width="15.7109375" style="19"/>
    <col min="19" max="19" width="15.7109375" style="19" customWidth="1"/>
    <col min="20" max="23" width="15.7109375" style="19"/>
    <col min="24" max="24" width="15.7109375" style="19" customWidth="1"/>
    <col min="25" max="26" width="15.7109375" style="19"/>
    <col min="27" max="27" width="15.7109375" style="19" customWidth="1"/>
    <col min="28" max="30" width="15.7109375" style="19"/>
    <col min="31" max="31" width="15.7109375" style="19" customWidth="1"/>
    <col min="32" max="36" width="15.7109375" style="19"/>
    <col min="37" max="37" width="15.7109375" style="19" customWidth="1"/>
    <col min="38" max="16384" width="15.7109375" style="19"/>
  </cols>
  <sheetData>
    <row r="1" spans="1:99" ht="14.25" customHeight="1" x14ac:dyDescent="0.2">
      <c r="A1" s="16" t="s">
        <v>89</v>
      </c>
      <c r="B1" s="16" t="s">
        <v>77</v>
      </c>
      <c r="C1" s="16" t="s">
        <v>1</v>
      </c>
      <c r="D1" s="18" t="s">
        <v>5</v>
      </c>
      <c r="E1" s="18" t="s">
        <v>6</v>
      </c>
      <c r="F1" s="18" t="s">
        <v>7</v>
      </c>
      <c r="G1" s="18" t="s">
        <v>8</v>
      </c>
      <c r="H1" s="18" t="s">
        <v>9</v>
      </c>
      <c r="I1" s="18" t="s">
        <v>10</v>
      </c>
      <c r="J1" s="18" t="s">
        <v>11</v>
      </c>
      <c r="K1" s="18" t="s">
        <v>12</v>
      </c>
      <c r="L1" s="18" t="s">
        <v>13</v>
      </c>
      <c r="M1" s="18" t="s">
        <v>14</v>
      </c>
      <c r="N1" s="18" t="s">
        <v>15</v>
      </c>
      <c r="O1" s="18" t="s">
        <v>18</v>
      </c>
      <c r="P1" s="18" t="s">
        <v>16</v>
      </c>
      <c r="Q1" s="18" t="s">
        <v>17</v>
      </c>
      <c r="R1" s="18" t="s">
        <v>19</v>
      </c>
      <c r="S1" s="18" t="s">
        <v>20</v>
      </c>
      <c r="T1" s="18" t="s">
        <v>21</v>
      </c>
      <c r="U1" s="18" t="s">
        <v>22</v>
      </c>
      <c r="V1" s="18" t="s">
        <v>24</v>
      </c>
      <c r="W1" s="18" t="s">
        <v>23</v>
      </c>
      <c r="X1" s="18" t="s">
        <v>25</v>
      </c>
      <c r="Y1" s="18" t="s">
        <v>26</v>
      </c>
      <c r="Z1" s="18" t="s">
        <v>27</v>
      </c>
      <c r="AA1" s="18" t="s">
        <v>28</v>
      </c>
      <c r="AB1" s="18" t="s">
        <v>29</v>
      </c>
      <c r="AC1" s="18" t="s">
        <v>30</v>
      </c>
      <c r="AD1" s="18" t="s">
        <v>31</v>
      </c>
      <c r="AE1" s="18" t="s">
        <v>32</v>
      </c>
      <c r="AF1" s="18" t="s">
        <v>33</v>
      </c>
      <c r="AG1" s="18" t="s">
        <v>34</v>
      </c>
      <c r="AH1" s="18" t="s">
        <v>35</v>
      </c>
      <c r="AI1" s="18" t="s">
        <v>36</v>
      </c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</row>
    <row r="2" spans="1:99" ht="14.25" customHeight="1" x14ac:dyDescent="0.2">
      <c r="A2" s="16">
        <v>1</v>
      </c>
      <c r="B2" s="16" t="s">
        <v>69</v>
      </c>
      <c r="C2" s="16">
        <f>SUM(D2:AI2)</f>
        <v>3545</v>
      </c>
      <c r="D2" s="16">
        <f>100+45+40</f>
        <v>185</v>
      </c>
      <c r="E2" s="16">
        <v>300</v>
      </c>
      <c r="F2" s="16">
        <f>100+80+26</f>
        <v>206</v>
      </c>
      <c r="G2" s="16">
        <f>50+29+29</f>
        <v>108</v>
      </c>
      <c r="H2" s="16">
        <f>100+45+11</f>
        <v>156</v>
      </c>
      <c r="I2" s="16">
        <f>32+15+11</f>
        <v>58</v>
      </c>
      <c r="J2" s="16">
        <f>32+29+24</f>
        <v>85</v>
      </c>
      <c r="K2" s="16">
        <f>50+50+22</f>
        <v>122</v>
      </c>
      <c r="L2" s="16">
        <f>80+28+6</f>
        <v>114</v>
      </c>
      <c r="M2" s="16">
        <f>50+20+7</f>
        <v>77</v>
      </c>
      <c r="N2" s="16">
        <f>15+11+9</f>
        <v>35</v>
      </c>
      <c r="O2" s="16">
        <f>29+16+5</f>
        <v>50</v>
      </c>
      <c r="P2" s="16">
        <v>300</v>
      </c>
      <c r="Q2" s="16">
        <f>100+45+29</f>
        <v>174</v>
      </c>
      <c r="R2" s="16">
        <f>100+45+4</f>
        <v>149</v>
      </c>
      <c r="S2" s="16">
        <f>60+40+29</f>
        <v>129</v>
      </c>
      <c r="T2" s="16">
        <f>50+50+26</f>
        <v>126</v>
      </c>
      <c r="U2" s="16">
        <v>300</v>
      </c>
      <c r="V2" s="16">
        <f>50+32+14</f>
        <v>96</v>
      </c>
      <c r="W2" s="16">
        <f>100+32+22</f>
        <v>154</v>
      </c>
      <c r="X2" s="16">
        <v>200</v>
      </c>
      <c r="Y2" s="16">
        <f>100+36+32</f>
        <v>168</v>
      </c>
      <c r="Z2" s="16">
        <f>60+45+36</f>
        <v>141</v>
      </c>
      <c r="AA2" s="16">
        <f>80+22+10</f>
        <v>112</v>
      </c>
      <c r="AB2" s="16"/>
      <c r="AC2" s="16"/>
      <c r="AD2" s="16"/>
      <c r="AE2" s="16"/>
      <c r="AF2" s="16"/>
      <c r="AG2" s="16"/>
      <c r="AH2" s="16"/>
      <c r="AI2" s="16"/>
    </row>
    <row r="3" spans="1:99" ht="14.25" customHeight="1" x14ac:dyDescent="0.2">
      <c r="A3" s="16">
        <v>2</v>
      </c>
      <c r="B3" s="16" t="s">
        <v>68</v>
      </c>
      <c r="C3" s="16">
        <f>SUM(D3:AI3)</f>
        <v>3325</v>
      </c>
      <c r="D3" s="16">
        <f>100+26+18</f>
        <v>144</v>
      </c>
      <c r="E3" s="16">
        <v>200</v>
      </c>
      <c r="F3" s="16">
        <f>80+45+36</f>
        <v>161</v>
      </c>
      <c r="G3" s="16">
        <f>100+50+36</f>
        <v>186</v>
      </c>
      <c r="H3" s="16">
        <f>50+29+22</f>
        <v>101</v>
      </c>
      <c r="I3" s="16">
        <f>80+80+29</f>
        <v>189</v>
      </c>
      <c r="J3" s="16">
        <f>100+36+20</f>
        <v>156</v>
      </c>
      <c r="K3" s="16">
        <f>40+36+22</f>
        <v>98</v>
      </c>
      <c r="L3" s="16">
        <f>50+26+13</f>
        <v>89</v>
      </c>
      <c r="M3" s="16">
        <f>100+50+14</f>
        <v>164</v>
      </c>
      <c r="N3" s="16">
        <f>100+45+26</f>
        <v>171</v>
      </c>
      <c r="O3" s="16">
        <f>100+60+60</f>
        <v>220</v>
      </c>
      <c r="P3" s="16">
        <v>100</v>
      </c>
      <c r="Q3" s="16">
        <f>80+18+12</f>
        <v>110</v>
      </c>
      <c r="R3" s="16">
        <f>60+29+26</f>
        <v>115</v>
      </c>
      <c r="S3" s="16">
        <f>29+18+15</f>
        <v>62</v>
      </c>
      <c r="T3" s="16">
        <f>100+50+20</f>
        <v>170</v>
      </c>
      <c r="U3" s="16">
        <v>100</v>
      </c>
      <c r="V3" s="16">
        <f>45+36+32</f>
        <v>113</v>
      </c>
      <c r="W3" s="16">
        <f>50+36+22</f>
        <v>108</v>
      </c>
      <c r="X3" s="16">
        <v>300</v>
      </c>
      <c r="Y3" s="16">
        <f>45+40</f>
        <v>85</v>
      </c>
      <c r="Z3" s="16">
        <v>29</v>
      </c>
      <c r="AA3" s="16">
        <f>100+32+22</f>
        <v>154</v>
      </c>
      <c r="AB3" s="16"/>
      <c r="AC3" s="16"/>
      <c r="AD3" s="16"/>
      <c r="AE3" s="16"/>
      <c r="AF3" s="16"/>
      <c r="AG3" s="16"/>
      <c r="AH3" s="16"/>
      <c r="AI3" s="16"/>
    </row>
    <row r="4" spans="1:99" ht="14.25" customHeight="1" x14ac:dyDescent="0.2">
      <c r="A4" s="16">
        <v>3</v>
      </c>
      <c r="B4" s="16" t="s">
        <v>67</v>
      </c>
      <c r="C4" s="16">
        <f>SUM(D4:AI4)</f>
        <v>3313</v>
      </c>
      <c r="D4" s="16">
        <f>32+29+13</f>
        <v>74</v>
      </c>
      <c r="E4" s="16">
        <v>100</v>
      </c>
      <c r="F4" s="16">
        <f>45+24+14</f>
        <v>83</v>
      </c>
      <c r="G4" s="16">
        <f>60+24+15</f>
        <v>99</v>
      </c>
      <c r="H4" s="16">
        <f>80+18+15</f>
        <v>113</v>
      </c>
      <c r="I4" s="16">
        <f>100+45+36</f>
        <v>181</v>
      </c>
      <c r="J4" s="16">
        <f>80+45+14</f>
        <v>139</v>
      </c>
      <c r="K4" s="16">
        <f>100+60+36</f>
        <v>196</v>
      </c>
      <c r="L4" s="16">
        <f>100+16+16</f>
        <v>132</v>
      </c>
      <c r="M4" s="16">
        <f>50+50+20</f>
        <v>120</v>
      </c>
      <c r="N4" s="16">
        <f>45+22+20</f>
        <v>87</v>
      </c>
      <c r="O4" s="16">
        <f>60+29+29</f>
        <v>118</v>
      </c>
      <c r="P4" s="16">
        <v>200</v>
      </c>
      <c r="Q4" s="16">
        <f>60+36+24</f>
        <v>120</v>
      </c>
      <c r="R4" s="16">
        <f>80+60+22</f>
        <v>162</v>
      </c>
      <c r="S4" s="16">
        <f>80+50+18</f>
        <v>148</v>
      </c>
      <c r="T4" s="16">
        <f>100+29+20</f>
        <v>149</v>
      </c>
      <c r="U4" s="16">
        <v>200</v>
      </c>
      <c r="V4" s="16">
        <f>80+60+45</f>
        <v>185</v>
      </c>
      <c r="W4" s="16">
        <f>100+50+40</f>
        <v>190</v>
      </c>
      <c r="X4" s="16">
        <v>150</v>
      </c>
      <c r="Y4" s="16">
        <f>60+50+29</f>
        <v>139</v>
      </c>
      <c r="Z4" s="16">
        <f>60+40+18</f>
        <v>118</v>
      </c>
      <c r="AA4" s="16">
        <f>60+26+24</f>
        <v>110</v>
      </c>
      <c r="AB4" s="16"/>
      <c r="AC4" s="16"/>
      <c r="AD4" s="16"/>
      <c r="AE4" s="16"/>
      <c r="AF4" s="16"/>
      <c r="AG4" s="16"/>
      <c r="AH4" s="16"/>
      <c r="AI4" s="16"/>
    </row>
    <row r="5" spans="1:99" ht="14.25" customHeight="1" x14ac:dyDescent="0.2">
      <c r="A5" s="16">
        <v>4</v>
      </c>
      <c r="B5" s="16" t="s">
        <v>70</v>
      </c>
      <c r="C5" s="16">
        <f>SUM(D5:AI5)</f>
        <v>2688</v>
      </c>
      <c r="D5" s="16">
        <f>26+26+26</f>
        <v>78</v>
      </c>
      <c r="E5" s="16">
        <v>200</v>
      </c>
      <c r="F5" s="16">
        <f>36+36+24</f>
        <v>96</v>
      </c>
      <c r="G5" s="16">
        <f>50+24+24</f>
        <v>98</v>
      </c>
      <c r="H5" s="16">
        <f>60+36+26</f>
        <v>122</v>
      </c>
      <c r="I5" s="16">
        <f>50+26+22</f>
        <v>98</v>
      </c>
      <c r="J5" s="16">
        <f>45+24+20</f>
        <v>89</v>
      </c>
      <c r="K5" s="16">
        <f>80+14+13</f>
        <v>107</v>
      </c>
      <c r="L5" s="16">
        <f>50+36+26</f>
        <v>112</v>
      </c>
      <c r="M5" s="16">
        <f>32+24+2</f>
        <v>58</v>
      </c>
      <c r="N5" s="16">
        <f>80+50+36</f>
        <v>166</v>
      </c>
      <c r="O5" s="16">
        <f>100+60+29</f>
        <v>189</v>
      </c>
      <c r="P5" s="16">
        <v>150</v>
      </c>
      <c r="Q5" s="16">
        <f>50+24+16</f>
        <v>90</v>
      </c>
      <c r="R5" s="16">
        <f>40+26+22</f>
        <v>88</v>
      </c>
      <c r="S5" s="16">
        <f>29+20+15</f>
        <v>64</v>
      </c>
      <c r="T5" s="16">
        <f>60+26+20</f>
        <v>106</v>
      </c>
      <c r="U5" s="16">
        <v>150</v>
      </c>
      <c r="V5" s="16">
        <f>32+24+15</f>
        <v>71</v>
      </c>
      <c r="W5" s="16">
        <f>100+29+16</f>
        <v>145</v>
      </c>
      <c r="X5" s="16">
        <v>100</v>
      </c>
      <c r="Y5" s="16">
        <f>22+16+14</f>
        <v>52</v>
      </c>
      <c r="Z5" s="16">
        <f>100+29+22</f>
        <v>151</v>
      </c>
      <c r="AA5" s="16">
        <f>50+45+13</f>
        <v>108</v>
      </c>
      <c r="AB5" s="16"/>
      <c r="AC5" s="16"/>
      <c r="AD5" s="16"/>
      <c r="AE5" s="16"/>
      <c r="AF5" s="16"/>
      <c r="AG5" s="16"/>
      <c r="AH5" s="16"/>
      <c r="AI5" s="16"/>
    </row>
    <row r="6" spans="1:99" ht="14.25" customHeight="1" x14ac:dyDescent="0.2">
      <c r="A6" s="16">
        <v>5</v>
      </c>
      <c r="B6" s="16" t="s">
        <v>76</v>
      </c>
      <c r="C6" s="16">
        <f>SUM(D6:AI6)</f>
        <v>2121</v>
      </c>
      <c r="D6" s="16">
        <f>60+50+13</f>
        <v>123</v>
      </c>
      <c r="E6" s="16">
        <v>50</v>
      </c>
      <c r="F6" s="16">
        <f>80+11+7</f>
        <v>98</v>
      </c>
      <c r="G6" s="16">
        <f>80+36+12</f>
        <v>128</v>
      </c>
      <c r="H6" s="16">
        <f>45+36+12</f>
        <v>93</v>
      </c>
      <c r="I6" s="16">
        <f>40+18+14</f>
        <v>72</v>
      </c>
      <c r="J6" s="16">
        <f>80+14+11</f>
        <v>105</v>
      </c>
      <c r="K6" s="16">
        <f>36+22+22</f>
        <v>80</v>
      </c>
      <c r="L6" s="16">
        <f>80+40+8</f>
        <v>128</v>
      </c>
      <c r="M6" s="16">
        <f>60+15+10</f>
        <v>85</v>
      </c>
      <c r="N6" s="16">
        <f>29+14+13</f>
        <v>56</v>
      </c>
      <c r="O6" s="16">
        <f>60+60+12</f>
        <v>132</v>
      </c>
      <c r="P6" s="16">
        <v>50</v>
      </c>
      <c r="Q6" s="16">
        <f>45+29+16</f>
        <v>90</v>
      </c>
      <c r="R6" s="16">
        <f>40+13+11</f>
        <v>64</v>
      </c>
      <c r="S6" s="16">
        <f>100+50+40</f>
        <v>190</v>
      </c>
      <c r="T6" s="16">
        <f>50+13</f>
        <v>63</v>
      </c>
      <c r="U6" s="16">
        <v>50</v>
      </c>
      <c r="V6" s="16">
        <f>100+12</f>
        <v>112</v>
      </c>
      <c r="W6" s="16">
        <f>12+11</f>
        <v>23</v>
      </c>
      <c r="X6" s="16">
        <v>50</v>
      </c>
      <c r="Y6" s="16">
        <f>26+20+18</f>
        <v>64</v>
      </c>
      <c r="Z6" s="16">
        <f>80+22</f>
        <v>102</v>
      </c>
      <c r="AA6" s="16">
        <f>45+36+32</f>
        <v>113</v>
      </c>
      <c r="AB6" s="16"/>
      <c r="AC6" s="16"/>
      <c r="AD6" s="16"/>
      <c r="AE6" s="16"/>
      <c r="AF6" s="16"/>
      <c r="AG6" s="16"/>
      <c r="AH6" s="16"/>
      <c r="AI6" s="16"/>
    </row>
  </sheetData>
  <sortState ref="B2:W6">
    <sortCondition descending="1" ref="C2:C6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4"/>
  <sheetViews>
    <sheetView zoomScale="90" zoomScaleNormal="90" workbookViewId="0">
      <selection activeCell="A4" sqref="A4"/>
    </sheetView>
  </sheetViews>
  <sheetFormatPr defaultColWidth="15.7109375" defaultRowHeight="14.25" customHeight="1" x14ac:dyDescent="0.2"/>
  <cols>
    <col min="1" max="1" width="6.28515625" style="19" customWidth="1"/>
    <col min="2" max="2" width="35.7109375" style="19" customWidth="1"/>
    <col min="3" max="3" width="15.7109375" style="19"/>
    <col min="4" max="6" width="15.7109375" style="19" customWidth="1"/>
    <col min="7" max="7" width="15.7109375" style="19"/>
    <col min="8" max="8" width="15.7109375" style="19" customWidth="1"/>
    <col min="9" max="18" width="0" style="19" hidden="1" customWidth="1"/>
    <col min="19" max="19" width="15.7109375" style="19" hidden="1" customWidth="1"/>
    <col min="20" max="23" width="0" style="19" hidden="1" customWidth="1"/>
    <col min="24" max="24" width="15.7109375" style="19" hidden="1" customWidth="1"/>
    <col min="25" max="26" width="0" style="19" hidden="1" customWidth="1"/>
    <col min="27" max="27" width="15.7109375" style="19" hidden="1" customWidth="1"/>
    <col min="28" max="30" width="0" style="19" hidden="1" customWidth="1"/>
    <col min="31" max="31" width="15.7109375" style="19" hidden="1" customWidth="1"/>
    <col min="32" max="36" width="0" style="19" hidden="1" customWidth="1"/>
    <col min="37" max="37" width="15.7109375" style="19" hidden="1" customWidth="1"/>
    <col min="38" max="51" width="0" style="19" hidden="1" customWidth="1"/>
    <col min="52" max="16384" width="15.7109375" style="19"/>
  </cols>
  <sheetData>
    <row r="1" spans="1:99" ht="14.25" customHeight="1" x14ac:dyDescent="0.2">
      <c r="A1" s="16" t="s">
        <v>89</v>
      </c>
      <c r="B1" s="16" t="s">
        <v>77</v>
      </c>
      <c r="C1" s="16" t="s">
        <v>1</v>
      </c>
      <c r="D1" s="18" t="s">
        <v>25</v>
      </c>
      <c r="E1" s="18" t="s">
        <v>26</v>
      </c>
      <c r="F1" s="18" t="s">
        <v>27</v>
      </c>
      <c r="G1" s="18" t="s">
        <v>28</v>
      </c>
      <c r="H1" s="18" t="s">
        <v>29</v>
      </c>
      <c r="I1" s="21" t="s">
        <v>148</v>
      </c>
      <c r="J1" s="21" t="s">
        <v>149</v>
      </c>
      <c r="K1" s="21" t="s">
        <v>150</v>
      </c>
      <c r="L1" s="21" t="s">
        <v>151</v>
      </c>
      <c r="M1" s="21" t="s">
        <v>152</v>
      </c>
      <c r="N1" s="21" t="s">
        <v>153</v>
      </c>
      <c r="O1" s="21" t="s">
        <v>154</v>
      </c>
      <c r="P1" s="21" t="s">
        <v>155</v>
      </c>
      <c r="Q1" s="21" t="s">
        <v>156</v>
      </c>
      <c r="R1" s="21" t="s">
        <v>157</v>
      </c>
      <c r="S1" s="21" t="s">
        <v>158</v>
      </c>
      <c r="T1" s="21" t="s">
        <v>159</v>
      </c>
      <c r="U1" s="21" t="s">
        <v>160</v>
      </c>
      <c r="V1" s="21" t="s">
        <v>161</v>
      </c>
      <c r="W1" s="21" t="s">
        <v>162</v>
      </c>
      <c r="X1" s="21" t="s">
        <v>163</v>
      </c>
      <c r="Y1" s="21" t="s">
        <v>164</v>
      </c>
      <c r="Z1" s="21" t="s">
        <v>165</v>
      </c>
      <c r="AA1" s="21" t="s">
        <v>166</v>
      </c>
      <c r="AB1" s="21" t="s">
        <v>167</v>
      </c>
      <c r="AC1" s="21" t="s">
        <v>168</v>
      </c>
      <c r="AD1" s="21" t="s">
        <v>169</v>
      </c>
      <c r="AE1" s="21" t="s">
        <v>170</v>
      </c>
      <c r="AF1" s="21" t="s">
        <v>171</v>
      </c>
      <c r="AG1" s="21" t="s">
        <v>172</v>
      </c>
      <c r="AH1" s="21" t="s">
        <v>173</v>
      </c>
      <c r="AI1" s="21" t="s">
        <v>174</v>
      </c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</row>
    <row r="2" spans="1:99" ht="14.25" customHeight="1" x14ac:dyDescent="0.2">
      <c r="A2" s="16">
        <v>1</v>
      </c>
      <c r="B2" s="16" t="s">
        <v>68</v>
      </c>
      <c r="C2" s="25">
        <f>SUM(D2:H2)</f>
        <v>1560.1000000000001</v>
      </c>
      <c r="D2" s="25">
        <v>476.8</v>
      </c>
      <c r="E2" s="25">
        <f>159.4+159.3</f>
        <v>318.70000000000005</v>
      </c>
      <c r="F2" s="25">
        <f>154.5+154.9</f>
        <v>309.39999999999998</v>
      </c>
      <c r="G2" s="25">
        <f>229.2+226</f>
        <v>455.2</v>
      </c>
      <c r="H2" s="25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24"/>
      <c r="Z2" s="23"/>
      <c r="AA2" s="23"/>
      <c r="AB2" s="23"/>
      <c r="AC2" s="22"/>
      <c r="AD2" s="22"/>
      <c r="AE2" s="22"/>
      <c r="AF2" s="22"/>
      <c r="AG2" s="22"/>
      <c r="AH2" s="22"/>
      <c r="AI2" s="22"/>
    </row>
    <row r="3" spans="1:99" ht="14.25" customHeight="1" x14ac:dyDescent="0.2">
      <c r="A3" s="16">
        <v>2</v>
      </c>
      <c r="B3" s="16" t="s">
        <v>69</v>
      </c>
      <c r="C3" s="25">
        <f>SUM(D3:H3)</f>
        <v>1559</v>
      </c>
      <c r="D3" s="25">
        <v>475.6</v>
      </c>
      <c r="E3" s="25">
        <f>161.2+158.6</f>
        <v>319.79999999999995</v>
      </c>
      <c r="F3" s="25">
        <f>155.4+155.1</f>
        <v>310.5</v>
      </c>
      <c r="G3" s="27">
        <f>227.7+225.4</f>
        <v>453.1</v>
      </c>
      <c r="H3" s="25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  <c r="Y3" s="24"/>
      <c r="Z3" s="23"/>
      <c r="AA3" s="23"/>
      <c r="AB3" s="23"/>
      <c r="AC3" s="22"/>
      <c r="AD3" s="22"/>
      <c r="AE3" s="22"/>
      <c r="AF3" s="22"/>
      <c r="AG3" s="22"/>
      <c r="AH3" s="22"/>
      <c r="AI3" s="22"/>
    </row>
    <row r="4" spans="1:99" ht="14.25" customHeight="1" x14ac:dyDescent="0.2">
      <c r="A4" s="16">
        <v>3</v>
      </c>
      <c r="B4" s="16" t="s">
        <v>67</v>
      </c>
      <c r="C4" s="25">
        <f>SUM(D4:H4)</f>
        <v>1557.9</v>
      </c>
      <c r="D4" s="25">
        <v>473.8</v>
      </c>
      <c r="E4" s="25">
        <f>160.4+159.9</f>
        <v>320.3</v>
      </c>
      <c r="F4" s="25">
        <f>155.4+155</f>
        <v>310.39999999999998</v>
      </c>
      <c r="G4" s="25">
        <f>227.5+225.9</f>
        <v>453.4</v>
      </c>
      <c r="H4" s="25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24"/>
      <c r="Z4" s="23"/>
      <c r="AA4" s="23"/>
      <c r="AB4" s="23"/>
      <c r="AC4" s="22"/>
      <c r="AD4" s="22"/>
      <c r="AE4" s="22"/>
      <c r="AF4" s="22"/>
      <c r="AG4" s="22"/>
      <c r="AH4" s="22"/>
      <c r="AI4" s="22"/>
    </row>
    <row r="5" spans="1:99" ht="14.25" customHeight="1" x14ac:dyDescent="0.2">
      <c r="A5" s="16">
        <v>4</v>
      </c>
      <c r="B5" s="16" t="s">
        <v>70</v>
      </c>
      <c r="C5" s="25">
        <f>SUM(D5:H5)</f>
        <v>1549.6</v>
      </c>
      <c r="D5" s="25">
        <v>473</v>
      </c>
      <c r="E5" s="25">
        <f>156.7+155.3</f>
        <v>312</v>
      </c>
      <c r="F5" s="25">
        <f>156.3+154.5</f>
        <v>310.8</v>
      </c>
      <c r="G5" s="25">
        <f>227.2+226.6</f>
        <v>453.79999999999995</v>
      </c>
      <c r="H5" s="25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3"/>
      <c r="Y5" s="24"/>
      <c r="Z5" s="23"/>
      <c r="AA5" s="23"/>
      <c r="AB5" s="23"/>
      <c r="AC5" s="22"/>
      <c r="AD5" s="22"/>
      <c r="AE5" s="22"/>
      <c r="AF5" s="22"/>
      <c r="AG5" s="22"/>
      <c r="AH5" s="22"/>
      <c r="AI5" s="22"/>
    </row>
    <row r="6" spans="1:99" ht="14.25" customHeight="1" x14ac:dyDescent="0.2">
      <c r="A6" s="16">
        <v>5</v>
      </c>
      <c r="B6" s="16" t="s">
        <v>76</v>
      </c>
      <c r="C6" s="25">
        <f>SUM(D6:H6)</f>
        <v>1388</v>
      </c>
      <c r="D6" s="25">
        <v>312.2</v>
      </c>
      <c r="E6" s="25">
        <f>157.2+156.2</f>
        <v>313.39999999999998</v>
      </c>
      <c r="F6" s="25">
        <f>155.8+153.6</f>
        <v>309.39999999999998</v>
      </c>
      <c r="G6" s="25">
        <f>226.6+226.4</f>
        <v>453</v>
      </c>
      <c r="H6" s="25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3"/>
      <c r="Y6" s="24"/>
      <c r="Z6" s="23"/>
      <c r="AA6" s="23"/>
      <c r="AB6" s="23"/>
      <c r="AC6" s="22"/>
      <c r="AD6" s="22"/>
      <c r="AE6" s="22"/>
      <c r="AF6" s="22"/>
      <c r="AG6" s="22"/>
      <c r="AH6" s="22"/>
      <c r="AI6" s="22"/>
    </row>
    <row r="7" spans="1:99" ht="14.25" customHeight="1" x14ac:dyDescent="0.2"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</row>
    <row r="8" spans="1:99" ht="14.25" customHeight="1" x14ac:dyDescent="0.2"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9" spans="1:99" ht="14.25" customHeight="1" x14ac:dyDescent="0.2"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99" ht="14.25" customHeight="1" x14ac:dyDescent="0.2"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99" ht="14.25" customHeight="1" x14ac:dyDescent="0.2"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99" ht="14.25" customHeight="1" x14ac:dyDescent="0.2"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</row>
    <row r="13" spans="1:99" ht="14.25" customHeight="1" x14ac:dyDescent="0.2"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99" ht="14.25" customHeight="1" x14ac:dyDescent="0.2"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</row>
    <row r="15" spans="1:99" ht="14.25" customHeight="1" x14ac:dyDescent="0.2"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</row>
    <row r="16" spans="1:99" ht="14.25" customHeight="1" x14ac:dyDescent="0.2"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</row>
    <row r="17" spans="9:35" ht="14.25" customHeight="1" x14ac:dyDescent="0.2"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</row>
    <row r="18" spans="9:35" ht="14.25" customHeight="1" x14ac:dyDescent="0.2"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</row>
    <row r="19" spans="9:35" ht="14.25" customHeight="1" x14ac:dyDescent="0.2"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9:35" ht="14.25" customHeight="1" x14ac:dyDescent="0.2"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9:35" ht="14.25" customHeight="1" x14ac:dyDescent="0.2"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9:35" ht="14.25" customHeight="1" x14ac:dyDescent="0.2"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9:35" ht="14.25" customHeight="1" x14ac:dyDescent="0.2"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9:35" ht="14.25" customHeight="1" x14ac:dyDescent="0.2"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>
      <selection activeCell="G31" sqref="G31"/>
    </sheetView>
  </sheetViews>
  <sheetFormatPr defaultRowHeight="14.25" customHeight="1" x14ac:dyDescent="0.2"/>
  <cols>
    <col min="1" max="1" width="5.7109375" style="4" customWidth="1"/>
    <col min="2" max="2" width="25.7109375" style="4" customWidth="1"/>
    <col min="3" max="3" width="15.7109375" style="4" customWidth="1"/>
    <col min="4" max="4" width="11.7109375" style="5" customWidth="1"/>
    <col min="5" max="8" width="9.7109375" style="5" customWidth="1"/>
    <col min="9" max="16384" width="9.140625" style="4"/>
  </cols>
  <sheetData>
    <row r="1" spans="1:8" ht="14.25" customHeight="1" x14ac:dyDescent="0.2">
      <c r="A1" s="1" t="s">
        <v>89</v>
      </c>
      <c r="B1" s="1" t="s">
        <v>0</v>
      </c>
      <c r="C1" s="1" t="s">
        <v>78</v>
      </c>
      <c r="D1" s="3" t="s">
        <v>88</v>
      </c>
      <c r="E1" s="3" t="s">
        <v>124</v>
      </c>
      <c r="F1" s="3" t="s">
        <v>125</v>
      </c>
      <c r="G1" s="3" t="s">
        <v>126</v>
      </c>
      <c r="H1" s="3" t="s">
        <v>127</v>
      </c>
    </row>
    <row r="2" spans="1:8" ht="14.25" customHeight="1" x14ac:dyDescent="0.2">
      <c r="A2" s="9">
        <v>1</v>
      </c>
      <c r="B2" s="9" t="s">
        <v>38</v>
      </c>
      <c r="C2" s="9" t="s">
        <v>72</v>
      </c>
      <c r="D2" s="10">
        <f t="shared" ref="D2:D33" si="0">SUM(E2:H2)</f>
        <v>624.6</v>
      </c>
      <c r="E2" s="11">
        <v>164.3</v>
      </c>
      <c r="F2" s="11">
        <v>157.19999999999999</v>
      </c>
      <c r="G2" s="9">
        <v>158.5</v>
      </c>
      <c r="H2" s="9">
        <v>144.6</v>
      </c>
    </row>
    <row r="3" spans="1:8" ht="14.25" customHeight="1" x14ac:dyDescent="0.2">
      <c r="A3" s="9">
        <v>2</v>
      </c>
      <c r="B3" s="9" t="s">
        <v>45</v>
      </c>
      <c r="C3" s="9" t="s">
        <v>71</v>
      </c>
      <c r="D3" s="10">
        <f t="shared" si="0"/>
        <v>623.9</v>
      </c>
      <c r="E3" s="11">
        <v>165.7</v>
      </c>
      <c r="F3" s="11">
        <v>159.1</v>
      </c>
      <c r="G3" s="11">
        <v>157.19999999999999</v>
      </c>
      <c r="H3" s="12">
        <v>141.9</v>
      </c>
    </row>
    <row r="4" spans="1:8" ht="14.25" customHeight="1" x14ac:dyDescent="0.2">
      <c r="A4" s="9">
        <v>3</v>
      </c>
      <c r="B4" s="9" t="s">
        <v>48</v>
      </c>
      <c r="C4" s="9" t="s">
        <v>75</v>
      </c>
      <c r="D4" s="10">
        <f t="shared" si="0"/>
        <v>619.1</v>
      </c>
      <c r="E4" s="11">
        <v>165</v>
      </c>
      <c r="F4" s="11">
        <v>157.19999999999999</v>
      </c>
      <c r="G4" s="11">
        <v>156.80000000000001</v>
      </c>
      <c r="H4" s="12">
        <v>140.1</v>
      </c>
    </row>
    <row r="5" spans="1:8" ht="14.25" customHeight="1" x14ac:dyDescent="0.2">
      <c r="A5" s="9">
        <v>4</v>
      </c>
      <c r="B5" s="9" t="s">
        <v>41</v>
      </c>
      <c r="C5" s="9" t="s">
        <v>73</v>
      </c>
      <c r="D5" s="10">
        <f t="shared" si="0"/>
        <v>618.9</v>
      </c>
      <c r="E5" s="11">
        <v>164.4</v>
      </c>
      <c r="F5" s="11">
        <v>157.69999999999999</v>
      </c>
      <c r="G5" s="11">
        <v>157.19999999999999</v>
      </c>
      <c r="H5" s="12">
        <v>139.6</v>
      </c>
    </row>
    <row r="6" spans="1:8" ht="14.25" customHeight="1" x14ac:dyDescent="0.2">
      <c r="A6" s="9">
        <v>5</v>
      </c>
      <c r="B6" s="9" t="s">
        <v>82</v>
      </c>
      <c r="C6" s="9"/>
      <c r="D6" s="10">
        <f t="shared" si="0"/>
        <v>616.20000000000005</v>
      </c>
      <c r="E6" s="11">
        <v>163.5</v>
      </c>
      <c r="F6" s="11">
        <v>153.6</v>
      </c>
      <c r="G6" s="9">
        <v>156.30000000000001</v>
      </c>
      <c r="H6" s="12">
        <v>142.80000000000001</v>
      </c>
    </row>
    <row r="7" spans="1:8" ht="14.25" customHeight="1" x14ac:dyDescent="0.2">
      <c r="A7" s="9">
        <v>6</v>
      </c>
      <c r="B7" s="9" t="s">
        <v>118</v>
      </c>
      <c r="C7" s="9" t="s">
        <v>72</v>
      </c>
      <c r="D7" s="10">
        <f t="shared" si="0"/>
        <v>613.9</v>
      </c>
      <c r="E7" s="11">
        <v>162.6</v>
      </c>
      <c r="F7" s="11">
        <v>153.1</v>
      </c>
      <c r="G7" s="9">
        <v>157.19999999999999</v>
      </c>
      <c r="H7" s="12">
        <v>141</v>
      </c>
    </row>
    <row r="8" spans="1:8" ht="14.25" customHeight="1" x14ac:dyDescent="0.2">
      <c r="A8" s="9">
        <v>7</v>
      </c>
      <c r="B8" s="9" t="s">
        <v>46</v>
      </c>
      <c r="C8" s="9" t="s">
        <v>72</v>
      </c>
      <c r="D8" s="10">
        <f t="shared" si="0"/>
        <v>613.6</v>
      </c>
      <c r="E8" s="11">
        <v>163.9</v>
      </c>
      <c r="F8" s="11">
        <v>155.4</v>
      </c>
      <c r="G8" s="9">
        <v>155.69999999999999</v>
      </c>
      <c r="H8" s="12">
        <v>138.6</v>
      </c>
    </row>
    <row r="9" spans="1:8" ht="14.25" customHeight="1" x14ac:dyDescent="0.2">
      <c r="A9" s="9">
        <v>8</v>
      </c>
      <c r="B9" s="9" t="s">
        <v>121</v>
      </c>
      <c r="C9" s="9" t="s">
        <v>74</v>
      </c>
      <c r="D9" s="10">
        <f t="shared" si="0"/>
        <v>610.70000000000005</v>
      </c>
      <c r="E9" s="11">
        <v>160.19999999999999</v>
      </c>
      <c r="F9" s="11">
        <v>153.5</v>
      </c>
      <c r="G9" s="9">
        <v>155.80000000000001</v>
      </c>
      <c r="H9" s="9">
        <v>141.19999999999999</v>
      </c>
    </row>
    <row r="10" spans="1:8" ht="14.25" customHeight="1" x14ac:dyDescent="0.2">
      <c r="A10" s="9">
        <v>9</v>
      </c>
      <c r="B10" s="9" t="s">
        <v>84</v>
      </c>
      <c r="C10" s="9" t="s">
        <v>74</v>
      </c>
      <c r="D10" s="10">
        <f t="shared" si="0"/>
        <v>607.29999999999995</v>
      </c>
      <c r="E10" s="11">
        <v>161</v>
      </c>
      <c r="F10" s="11">
        <v>152.6</v>
      </c>
      <c r="G10" s="9">
        <v>154.4</v>
      </c>
      <c r="H10" s="9">
        <v>139.30000000000001</v>
      </c>
    </row>
    <row r="11" spans="1:8" ht="14.25" customHeight="1" x14ac:dyDescent="0.2">
      <c r="A11" s="9">
        <v>10</v>
      </c>
      <c r="B11" s="9" t="s">
        <v>79</v>
      </c>
      <c r="C11" s="9" t="s">
        <v>72</v>
      </c>
      <c r="D11" s="10">
        <f t="shared" si="0"/>
        <v>607.20000000000005</v>
      </c>
      <c r="E11" s="11">
        <v>162.6</v>
      </c>
      <c r="F11" s="11">
        <v>151.80000000000001</v>
      </c>
      <c r="G11" s="9">
        <v>156.30000000000001</v>
      </c>
      <c r="H11" s="9">
        <v>136.5</v>
      </c>
    </row>
    <row r="12" spans="1:8" ht="14.25" customHeight="1" x14ac:dyDescent="0.2">
      <c r="A12" s="9">
        <v>11</v>
      </c>
      <c r="B12" s="9" t="s">
        <v>53</v>
      </c>
      <c r="C12" s="9" t="s">
        <v>75</v>
      </c>
      <c r="D12" s="10">
        <f t="shared" si="0"/>
        <v>604.5</v>
      </c>
      <c r="E12" s="11">
        <v>159.80000000000001</v>
      </c>
      <c r="F12" s="11">
        <v>153.4</v>
      </c>
      <c r="G12" s="9">
        <v>154.1</v>
      </c>
      <c r="H12" s="9">
        <v>137.19999999999999</v>
      </c>
    </row>
    <row r="13" spans="1:8" ht="14.25" customHeight="1" x14ac:dyDescent="0.2">
      <c r="A13" s="9">
        <v>12</v>
      </c>
      <c r="B13" s="9" t="s">
        <v>105</v>
      </c>
      <c r="C13" s="9"/>
      <c r="D13" s="10">
        <f t="shared" si="0"/>
        <v>604</v>
      </c>
      <c r="E13" s="11">
        <v>159.9</v>
      </c>
      <c r="F13" s="11">
        <v>153.19999999999999</v>
      </c>
      <c r="G13" s="9">
        <v>153.5</v>
      </c>
      <c r="H13" s="9">
        <v>137.4</v>
      </c>
    </row>
    <row r="14" spans="1:8" ht="14.25" customHeight="1" x14ac:dyDescent="0.2">
      <c r="A14" s="9">
        <v>13</v>
      </c>
      <c r="B14" s="9" t="s">
        <v>87</v>
      </c>
      <c r="C14" s="9" t="s">
        <v>74</v>
      </c>
      <c r="D14" s="10">
        <f t="shared" si="0"/>
        <v>603.29999999999995</v>
      </c>
      <c r="E14" s="11">
        <v>156.4</v>
      </c>
      <c r="F14" s="11">
        <v>153</v>
      </c>
      <c r="G14" s="9">
        <v>154.4</v>
      </c>
      <c r="H14" s="9">
        <v>139.5</v>
      </c>
    </row>
    <row r="15" spans="1:8" ht="14.25" customHeight="1" x14ac:dyDescent="0.2">
      <c r="A15" s="9">
        <v>14</v>
      </c>
      <c r="B15" s="9" t="s">
        <v>120</v>
      </c>
      <c r="C15" s="9" t="s">
        <v>73</v>
      </c>
      <c r="D15" s="10">
        <f t="shared" si="0"/>
        <v>588.29999999999995</v>
      </c>
      <c r="E15" s="11">
        <v>156.5</v>
      </c>
      <c r="F15" s="11">
        <v>147.19999999999999</v>
      </c>
      <c r="G15" s="9">
        <v>149.9</v>
      </c>
      <c r="H15" s="9">
        <v>134.69999999999999</v>
      </c>
    </row>
    <row r="16" spans="1:8" ht="14.25" customHeight="1" x14ac:dyDescent="0.2">
      <c r="A16" s="9">
        <v>15</v>
      </c>
      <c r="B16" s="9" t="s">
        <v>111</v>
      </c>
      <c r="C16" s="9"/>
      <c r="D16" s="10">
        <f t="shared" si="0"/>
        <v>543.69999999999993</v>
      </c>
      <c r="E16" s="11">
        <v>151.1</v>
      </c>
      <c r="F16" s="11">
        <v>131.19999999999999</v>
      </c>
      <c r="G16" s="9">
        <v>143</v>
      </c>
      <c r="H16" s="9">
        <v>118.4</v>
      </c>
    </row>
    <row r="17" spans="1:8" ht="14.25" customHeight="1" x14ac:dyDescent="0.2">
      <c r="A17" s="9">
        <v>16</v>
      </c>
      <c r="B17" s="9" t="s">
        <v>39</v>
      </c>
      <c r="C17" s="9" t="s">
        <v>74</v>
      </c>
      <c r="D17" s="10">
        <f t="shared" si="0"/>
        <v>478.5</v>
      </c>
      <c r="E17" s="11">
        <v>163.5</v>
      </c>
      <c r="F17" s="11">
        <v>157.5</v>
      </c>
      <c r="G17" s="9">
        <v>157.5</v>
      </c>
      <c r="H17" s="9"/>
    </row>
    <row r="18" spans="1:8" ht="14.25" customHeight="1" x14ac:dyDescent="0.2">
      <c r="A18" s="9"/>
      <c r="B18" s="9" t="s">
        <v>44</v>
      </c>
      <c r="C18" s="9" t="s">
        <v>71</v>
      </c>
      <c r="D18" s="10">
        <f t="shared" si="0"/>
        <v>477</v>
      </c>
      <c r="E18" s="11">
        <v>164.8</v>
      </c>
      <c r="F18" s="11">
        <v>155</v>
      </c>
      <c r="G18" s="9">
        <v>157.19999999999999</v>
      </c>
      <c r="H18" s="9"/>
    </row>
    <row r="19" spans="1:8" ht="14.25" customHeight="1" x14ac:dyDescent="0.2">
      <c r="A19" s="9">
        <v>18</v>
      </c>
      <c r="B19" s="9" t="s">
        <v>101</v>
      </c>
      <c r="C19" s="9"/>
      <c r="D19" s="10">
        <f t="shared" si="0"/>
        <v>476.80000000000007</v>
      </c>
      <c r="E19" s="11">
        <v>163.4</v>
      </c>
      <c r="F19" s="11">
        <v>156.30000000000001</v>
      </c>
      <c r="G19" s="9">
        <v>157.1</v>
      </c>
      <c r="H19" s="9"/>
    </row>
    <row r="20" spans="1:8" ht="14.25" customHeight="1" x14ac:dyDescent="0.2">
      <c r="A20" s="9">
        <v>19</v>
      </c>
      <c r="B20" s="9" t="s">
        <v>42</v>
      </c>
      <c r="C20" s="9" t="s">
        <v>73</v>
      </c>
      <c r="D20" s="10">
        <f t="shared" si="0"/>
        <v>476.5</v>
      </c>
      <c r="E20" s="11">
        <v>164.4</v>
      </c>
      <c r="F20" s="11">
        <v>155.4</v>
      </c>
      <c r="G20" s="9">
        <v>156.69999999999999</v>
      </c>
      <c r="H20" s="9"/>
    </row>
    <row r="21" spans="1:8" ht="14.25" customHeight="1" x14ac:dyDescent="0.2">
      <c r="A21" s="9">
        <v>20</v>
      </c>
      <c r="B21" s="9" t="s">
        <v>96</v>
      </c>
      <c r="C21" s="9" t="s">
        <v>75</v>
      </c>
      <c r="D21" s="10">
        <f t="shared" si="0"/>
        <v>476.2</v>
      </c>
      <c r="E21" s="11">
        <v>163.1</v>
      </c>
      <c r="F21" s="11">
        <v>156.30000000000001</v>
      </c>
      <c r="G21" s="9">
        <v>156.80000000000001</v>
      </c>
      <c r="H21" s="9"/>
    </row>
    <row r="22" spans="1:8" ht="14.25" customHeight="1" x14ac:dyDescent="0.2">
      <c r="A22" s="9">
        <v>21</v>
      </c>
      <c r="B22" s="9" t="s">
        <v>64</v>
      </c>
      <c r="C22" s="9" t="s">
        <v>71</v>
      </c>
      <c r="D22" s="10">
        <f t="shared" si="0"/>
        <v>475.59999999999997</v>
      </c>
      <c r="E22" s="11">
        <v>163.9</v>
      </c>
      <c r="F22" s="11">
        <v>155</v>
      </c>
      <c r="G22" s="9">
        <v>156.69999999999999</v>
      </c>
      <c r="H22" s="12"/>
    </row>
    <row r="23" spans="1:8" ht="14.25" customHeight="1" x14ac:dyDescent="0.2">
      <c r="A23" s="9">
        <v>22</v>
      </c>
      <c r="B23" s="9" t="s">
        <v>102</v>
      </c>
      <c r="C23" s="9"/>
      <c r="D23" s="10">
        <f t="shared" si="0"/>
        <v>475.29999999999995</v>
      </c>
      <c r="E23" s="11">
        <v>162.69999999999999</v>
      </c>
      <c r="F23" s="11">
        <v>155.5</v>
      </c>
      <c r="G23" s="9">
        <v>157.1</v>
      </c>
      <c r="H23" s="12"/>
    </row>
    <row r="24" spans="1:8" ht="14.25" customHeight="1" x14ac:dyDescent="0.2">
      <c r="A24" s="9"/>
      <c r="B24" s="9" t="s">
        <v>49</v>
      </c>
      <c r="C24" s="9" t="s">
        <v>75</v>
      </c>
      <c r="D24" s="10">
        <f t="shared" si="0"/>
        <v>474.6</v>
      </c>
      <c r="E24" s="11">
        <v>162.1</v>
      </c>
      <c r="F24" s="11">
        <v>155.4</v>
      </c>
      <c r="G24" s="9">
        <v>157.1</v>
      </c>
      <c r="H24" s="12"/>
    </row>
    <row r="25" spans="1:8" ht="14.25" customHeight="1" x14ac:dyDescent="0.2">
      <c r="A25" s="9">
        <v>24</v>
      </c>
      <c r="B25" s="9" t="s">
        <v>66</v>
      </c>
      <c r="C25" s="9" t="s">
        <v>71</v>
      </c>
      <c r="D25" s="10">
        <f t="shared" si="0"/>
        <v>472.8</v>
      </c>
      <c r="E25" s="11">
        <v>163.9</v>
      </c>
      <c r="F25" s="11">
        <v>153.6</v>
      </c>
      <c r="G25" s="9">
        <v>155.30000000000001</v>
      </c>
      <c r="H25" s="12"/>
    </row>
    <row r="26" spans="1:8" ht="14.25" customHeight="1" x14ac:dyDescent="0.2">
      <c r="A26" s="9">
        <v>25</v>
      </c>
      <c r="B26" s="9" t="s">
        <v>56</v>
      </c>
      <c r="C26" s="9" t="s">
        <v>72</v>
      </c>
      <c r="D26" s="10">
        <f t="shared" si="0"/>
        <v>472.70000000000005</v>
      </c>
      <c r="E26" s="11">
        <v>163.80000000000001</v>
      </c>
      <c r="F26" s="11">
        <v>154.5</v>
      </c>
      <c r="G26" s="9">
        <v>154.4</v>
      </c>
      <c r="H26" s="12"/>
    </row>
    <row r="27" spans="1:8" ht="14.25" customHeight="1" x14ac:dyDescent="0.2">
      <c r="A27" s="9">
        <v>26</v>
      </c>
      <c r="B27" s="9" t="s">
        <v>54</v>
      </c>
      <c r="C27" s="9" t="s">
        <v>74</v>
      </c>
      <c r="D27" s="10">
        <f t="shared" si="0"/>
        <v>472</v>
      </c>
      <c r="E27" s="11">
        <v>163.9</v>
      </c>
      <c r="F27" s="11">
        <v>151.69999999999999</v>
      </c>
      <c r="G27" s="9">
        <v>156.4</v>
      </c>
      <c r="H27" s="12"/>
    </row>
    <row r="28" spans="1:8" ht="14.25" customHeight="1" x14ac:dyDescent="0.2">
      <c r="A28" s="9"/>
      <c r="B28" s="9" t="s">
        <v>55</v>
      </c>
      <c r="C28" s="9" t="s">
        <v>75</v>
      </c>
      <c r="D28" s="10">
        <f t="shared" si="0"/>
        <v>470.8</v>
      </c>
      <c r="E28" s="11">
        <v>161.80000000000001</v>
      </c>
      <c r="F28" s="11">
        <v>152.69999999999999</v>
      </c>
      <c r="G28" s="9">
        <v>156.30000000000001</v>
      </c>
      <c r="H28" s="12"/>
    </row>
    <row r="29" spans="1:8" ht="14.25" customHeight="1" x14ac:dyDescent="0.2">
      <c r="A29" s="9">
        <v>28</v>
      </c>
      <c r="B29" s="9" t="s">
        <v>37</v>
      </c>
      <c r="C29" s="9" t="s">
        <v>73</v>
      </c>
      <c r="D29" s="10">
        <f t="shared" si="0"/>
        <v>470.5</v>
      </c>
      <c r="E29" s="11">
        <v>163.5</v>
      </c>
      <c r="F29" s="11">
        <v>153.30000000000001</v>
      </c>
      <c r="G29" s="9">
        <v>153.69999999999999</v>
      </c>
      <c r="H29" s="12"/>
    </row>
    <row r="30" spans="1:8" ht="14.25" customHeight="1" x14ac:dyDescent="0.2">
      <c r="A30" s="9"/>
      <c r="B30" s="9" t="s">
        <v>100</v>
      </c>
      <c r="C30" s="9"/>
      <c r="D30" s="10">
        <f t="shared" si="0"/>
        <v>470.5</v>
      </c>
      <c r="E30" s="11">
        <v>161.6</v>
      </c>
      <c r="F30" s="11">
        <v>154</v>
      </c>
      <c r="G30" s="9">
        <v>154.9</v>
      </c>
      <c r="H30" s="12"/>
    </row>
    <row r="31" spans="1:8" ht="14.25" customHeight="1" x14ac:dyDescent="0.2">
      <c r="A31" s="9">
        <v>30</v>
      </c>
      <c r="B31" s="9" t="s">
        <v>90</v>
      </c>
      <c r="C31" s="9" t="s">
        <v>74</v>
      </c>
      <c r="D31" s="10">
        <f t="shared" si="0"/>
        <v>470.1</v>
      </c>
      <c r="E31" s="11">
        <v>163</v>
      </c>
      <c r="F31" s="11">
        <v>152.19999999999999</v>
      </c>
      <c r="G31" s="9">
        <v>154.9</v>
      </c>
      <c r="H31" s="12"/>
    </row>
    <row r="32" spans="1:8" ht="14.25" customHeight="1" x14ac:dyDescent="0.2">
      <c r="A32" s="9">
        <v>31</v>
      </c>
      <c r="B32" s="9" t="s">
        <v>57</v>
      </c>
      <c r="C32" s="9" t="s">
        <v>71</v>
      </c>
      <c r="D32" s="10">
        <f t="shared" si="0"/>
        <v>468.9</v>
      </c>
      <c r="E32" s="11">
        <v>161.69999999999999</v>
      </c>
      <c r="F32" s="11">
        <v>152.69999999999999</v>
      </c>
      <c r="G32" s="9">
        <v>154.5</v>
      </c>
      <c r="H32" s="9"/>
    </row>
    <row r="33" spans="1:8" ht="14.25" customHeight="1" x14ac:dyDescent="0.2">
      <c r="A33" s="9">
        <v>32</v>
      </c>
      <c r="B33" s="9" t="s">
        <v>60</v>
      </c>
      <c r="C33" s="9" t="s">
        <v>75</v>
      </c>
      <c r="D33" s="10">
        <f t="shared" si="0"/>
        <v>466.8</v>
      </c>
      <c r="E33" s="11">
        <v>160.6</v>
      </c>
      <c r="F33" s="11">
        <v>149.5</v>
      </c>
      <c r="G33" s="9">
        <v>156.69999999999999</v>
      </c>
      <c r="H33" s="9"/>
    </row>
    <row r="34" spans="1:8" ht="14.25" customHeight="1" x14ac:dyDescent="0.2">
      <c r="A34" s="9">
        <v>33</v>
      </c>
      <c r="B34" s="9" t="s">
        <v>50</v>
      </c>
      <c r="C34" s="9" t="s">
        <v>75</v>
      </c>
      <c r="D34" s="10">
        <f t="shared" ref="D34:D61" si="1">SUM(E34:H34)</f>
        <v>460.90000000000003</v>
      </c>
      <c r="E34" s="11">
        <v>163.30000000000001</v>
      </c>
      <c r="F34" s="11">
        <v>155.30000000000001</v>
      </c>
      <c r="G34" s="9"/>
      <c r="H34" s="12">
        <v>142.30000000000001</v>
      </c>
    </row>
    <row r="35" spans="1:8" ht="14.25" customHeight="1" x14ac:dyDescent="0.2">
      <c r="A35" s="9">
        <v>34</v>
      </c>
      <c r="B35" s="9" t="s">
        <v>107</v>
      </c>
      <c r="C35" s="9"/>
      <c r="D35" s="10">
        <f t="shared" si="1"/>
        <v>460.09999999999997</v>
      </c>
      <c r="E35" s="11">
        <v>157.1</v>
      </c>
      <c r="F35" s="11">
        <v>151.69999999999999</v>
      </c>
      <c r="G35" s="9">
        <v>151.30000000000001</v>
      </c>
      <c r="H35" s="9"/>
    </row>
    <row r="36" spans="1:8" ht="14.25" customHeight="1" x14ac:dyDescent="0.2">
      <c r="A36" s="9">
        <v>35</v>
      </c>
      <c r="B36" s="9" t="s">
        <v>110</v>
      </c>
      <c r="C36" s="9"/>
      <c r="D36" s="10">
        <f t="shared" si="1"/>
        <v>448.4</v>
      </c>
      <c r="E36" s="11">
        <v>153.1</v>
      </c>
      <c r="F36" s="11">
        <v>143.1</v>
      </c>
      <c r="G36" s="9">
        <v>152.19999999999999</v>
      </c>
      <c r="H36" s="9"/>
    </row>
    <row r="37" spans="1:8" ht="14.25" customHeight="1" x14ac:dyDescent="0.2">
      <c r="A37" s="9">
        <v>36</v>
      </c>
      <c r="B37" s="9" t="s">
        <v>43</v>
      </c>
      <c r="C37" s="9"/>
      <c r="D37" s="10">
        <f t="shared" si="1"/>
        <v>446.70000000000005</v>
      </c>
      <c r="E37" s="11"/>
      <c r="F37" s="11">
        <v>153.19999999999999</v>
      </c>
      <c r="G37" s="9">
        <v>154.9</v>
      </c>
      <c r="H37" s="9">
        <v>138.6</v>
      </c>
    </row>
    <row r="38" spans="1:8" ht="14.25" customHeight="1" x14ac:dyDescent="0.2">
      <c r="A38" s="9">
        <v>37</v>
      </c>
      <c r="B38" s="9" t="s">
        <v>109</v>
      </c>
      <c r="C38" s="9"/>
      <c r="D38" s="10">
        <f t="shared" si="1"/>
        <v>441.9</v>
      </c>
      <c r="E38" s="11">
        <v>153.30000000000001</v>
      </c>
      <c r="F38" s="11">
        <v>140.1</v>
      </c>
      <c r="G38" s="9">
        <v>148.5</v>
      </c>
      <c r="H38" s="9"/>
    </row>
    <row r="39" spans="1:8" ht="14.25" customHeight="1" x14ac:dyDescent="0.2">
      <c r="A39" s="9">
        <v>38</v>
      </c>
      <c r="B39" s="9" t="s">
        <v>114</v>
      </c>
      <c r="C39" s="9"/>
      <c r="D39" s="10">
        <f t="shared" si="1"/>
        <v>433.7</v>
      </c>
      <c r="E39" s="11">
        <v>147.30000000000001</v>
      </c>
      <c r="F39" s="11">
        <v>141.19999999999999</v>
      </c>
      <c r="G39" s="9">
        <v>145.19999999999999</v>
      </c>
      <c r="H39" s="9"/>
    </row>
    <row r="40" spans="1:8" ht="14.25" customHeight="1" x14ac:dyDescent="0.2">
      <c r="A40" s="9">
        <v>39</v>
      </c>
      <c r="B40" s="9" t="s">
        <v>112</v>
      </c>
      <c r="C40" s="9"/>
      <c r="D40" s="10">
        <f t="shared" si="1"/>
        <v>432.40000000000003</v>
      </c>
      <c r="E40" s="11">
        <v>150.9</v>
      </c>
      <c r="F40" s="11">
        <v>137.80000000000001</v>
      </c>
      <c r="G40" s="9">
        <v>143.69999999999999</v>
      </c>
      <c r="H40" s="9"/>
    </row>
    <row r="41" spans="1:8" ht="14.25" customHeight="1" x14ac:dyDescent="0.2">
      <c r="A41" s="9">
        <v>40</v>
      </c>
      <c r="B41" s="9" t="s">
        <v>132</v>
      </c>
      <c r="C41" s="9"/>
      <c r="D41" s="10">
        <f t="shared" si="1"/>
        <v>394.8</v>
      </c>
      <c r="E41" s="11"/>
      <c r="F41" s="11">
        <v>127.4</v>
      </c>
      <c r="G41" s="9">
        <v>140.19999999999999</v>
      </c>
      <c r="H41" s="9">
        <v>127.2</v>
      </c>
    </row>
    <row r="42" spans="1:8" ht="14.25" customHeight="1" x14ac:dyDescent="0.2">
      <c r="A42" s="9">
        <v>41</v>
      </c>
      <c r="B42" s="9" t="s">
        <v>117</v>
      </c>
      <c r="C42" s="9" t="s">
        <v>74</v>
      </c>
      <c r="D42" s="10">
        <f t="shared" si="1"/>
        <v>320.3</v>
      </c>
      <c r="E42" s="11">
        <v>163.5</v>
      </c>
      <c r="F42" s="11">
        <v>156.80000000000001</v>
      </c>
      <c r="G42" s="9"/>
      <c r="H42" s="9"/>
    </row>
    <row r="43" spans="1:8" ht="14.25" customHeight="1" x14ac:dyDescent="0.2">
      <c r="A43" s="9">
        <v>42</v>
      </c>
      <c r="B43" s="9" t="s">
        <v>122</v>
      </c>
      <c r="C43" s="9" t="s">
        <v>72</v>
      </c>
      <c r="D43" s="10">
        <f t="shared" si="1"/>
        <v>317.5</v>
      </c>
      <c r="E43" s="11">
        <v>161.6</v>
      </c>
      <c r="F43" s="11"/>
      <c r="G43" s="9">
        <v>155.9</v>
      </c>
      <c r="H43" s="9"/>
    </row>
    <row r="44" spans="1:8" ht="14.25" customHeight="1" x14ac:dyDescent="0.2">
      <c r="A44" s="9">
        <v>43</v>
      </c>
      <c r="B44" s="9" t="s">
        <v>116</v>
      </c>
      <c r="C44" s="9" t="s">
        <v>72</v>
      </c>
      <c r="D44" s="10">
        <f t="shared" si="1"/>
        <v>317.2</v>
      </c>
      <c r="E44" s="11">
        <v>162.69999999999999</v>
      </c>
      <c r="F44" s="11">
        <v>154.5</v>
      </c>
      <c r="G44" s="9"/>
      <c r="H44" s="12"/>
    </row>
    <row r="45" spans="1:8" ht="14.25" customHeight="1" x14ac:dyDescent="0.2">
      <c r="A45" s="9">
        <v>44</v>
      </c>
      <c r="B45" s="9" t="s">
        <v>123</v>
      </c>
      <c r="C45" s="9" t="s">
        <v>74</v>
      </c>
      <c r="D45" s="10">
        <f t="shared" si="1"/>
        <v>315.7</v>
      </c>
      <c r="E45" s="11">
        <v>163.1</v>
      </c>
      <c r="F45" s="11"/>
      <c r="G45" s="9">
        <v>152.6</v>
      </c>
      <c r="H45" s="9"/>
    </row>
    <row r="46" spans="1:8" ht="14.25" customHeight="1" x14ac:dyDescent="0.2">
      <c r="A46" s="9">
        <v>45</v>
      </c>
      <c r="B46" s="9" t="s">
        <v>103</v>
      </c>
      <c r="C46" s="9"/>
      <c r="D46" s="10">
        <f t="shared" si="1"/>
        <v>313.3</v>
      </c>
      <c r="E46" s="11">
        <v>162</v>
      </c>
      <c r="F46" s="11">
        <v>151.30000000000001</v>
      </c>
      <c r="G46" s="9"/>
      <c r="H46" s="9"/>
    </row>
    <row r="47" spans="1:8" ht="14.25" customHeight="1" x14ac:dyDescent="0.2">
      <c r="A47" s="9">
        <v>46</v>
      </c>
      <c r="B47" s="9" t="s">
        <v>106</v>
      </c>
      <c r="C47" s="9"/>
      <c r="D47" s="10">
        <f t="shared" si="1"/>
        <v>310.3</v>
      </c>
      <c r="E47" s="11">
        <v>159.4</v>
      </c>
      <c r="F47" s="11">
        <v>150.9</v>
      </c>
      <c r="G47" s="9"/>
      <c r="H47" s="9"/>
    </row>
    <row r="48" spans="1:8" ht="14.25" customHeight="1" x14ac:dyDescent="0.2">
      <c r="A48" s="9">
        <v>47</v>
      </c>
      <c r="B48" s="9" t="s">
        <v>81</v>
      </c>
      <c r="C48" s="9"/>
      <c r="D48" s="10">
        <f t="shared" si="1"/>
        <v>307.10000000000002</v>
      </c>
      <c r="E48" s="11">
        <v>158.5</v>
      </c>
      <c r="F48" s="11">
        <v>148.6</v>
      </c>
      <c r="G48" s="9"/>
      <c r="H48" s="9"/>
    </row>
    <row r="49" spans="1:8" ht="14.25" customHeight="1" x14ac:dyDescent="0.2">
      <c r="A49" s="9">
        <v>48</v>
      </c>
      <c r="B49" s="9" t="s">
        <v>113</v>
      </c>
      <c r="C49" s="9"/>
      <c r="D49" s="10">
        <f t="shared" si="1"/>
        <v>298.20000000000005</v>
      </c>
      <c r="E49" s="11">
        <v>147.9</v>
      </c>
      <c r="F49" s="11"/>
      <c r="G49" s="9">
        <v>150.30000000000001</v>
      </c>
      <c r="H49" s="9"/>
    </row>
    <row r="50" spans="1:8" ht="14.25" customHeight="1" x14ac:dyDescent="0.2">
      <c r="A50" s="9">
        <v>49</v>
      </c>
      <c r="B50" s="9" t="s">
        <v>108</v>
      </c>
      <c r="C50" s="9"/>
      <c r="D50" s="10">
        <f t="shared" si="1"/>
        <v>288.2</v>
      </c>
      <c r="E50" s="11">
        <v>153.6</v>
      </c>
      <c r="F50" s="11">
        <v>134.6</v>
      </c>
      <c r="G50" s="9"/>
      <c r="H50" s="9"/>
    </row>
    <row r="51" spans="1:8" ht="14.25" customHeight="1" x14ac:dyDescent="0.2">
      <c r="A51" s="9">
        <v>50</v>
      </c>
      <c r="B51" s="9" t="s">
        <v>134</v>
      </c>
      <c r="C51" s="9"/>
      <c r="D51" s="10">
        <f t="shared" si="1"/>
        <v>256</v>
      </c>
      <c r="E51" s="11"/>
      <c r="F51" s="11"/>
      <c r="G51" s="11">
        <v>135.1</v>
      </c>
      <c r="H51" s="12">
        <v>120.9</v>
      </c>
    </row>
    <row r="52" spans="1:8" ht="14.25" customHeight="1" x14ac:dyDescent="0.2">
      <c r="A52" s="9">
        <v>51</v>
      </c>
      <c r="B52" s="9" t="s">
        <v>119</v>
      </c>
      <c r="C52" s="9" t="s">
        <v>75</v>
      </c>
      <c r="D52" s="10">
        <f t="shared" si="1"/>
        <v>162.5</v>
      </c>
      <c r="E52" s="11">
        <v>162.5</v>
      </c>
      <c r="F52" s="11"/>
      <c r="G52" s="9"/>
      <c r="H52" s="9"/>
    </row>
    <row r="53" spans="1:8" ht="14.25" customHeight="1" x14ac:dyDescent="0.2">
      <c r="A53" s="9">
        <v>52</v>
      </c>
      <c r="B53" s="9" t="s">
        <v>104</v>
      </c>
      <c r="C53" s="9"/>
      <c r="D53" s="10">
        <f t="shared" si="1"/>
        <v>162</v>
      </c>
      <c r="E53" s="11">
        <v>162</v>
      </c>
      <c r="F53" s="11"/>
      <c r="G53" s="9"/>
      <c r="H53" s="9"/>
    </row>
    <row r="54" spans="1:8" ht="14.25" customHeight="1" x14ac:dyDescent="0.2">
      <c r="A54" s="9">
        <v>53</v>
      </c>
      <c r="B54" s="9" t="s">
        <v>129</v>
      </c>
      <c r="C54" s="9"/>
      <c r="D54" s="10">
        <f t="shared" si="1"/>
        <v>157.6</v>
      </c>
      <c r="E54" s="11"/>
      <c r="F54" s="11"/>
      <c r="G54" s="11">
        <v>157.6</v>
      </c>
      <c r="H54" s="12"/>
    </row>
    <row r="55" spans="1:8" ht="14.25" customHeight="1" x14ac:dyDescent="0.2">
      <c r="A55" s="9">
        <v>54</v>
      </c>
      <c r="B55" s="9" t="s">
        <v>128</v>
      </c>
      <c r="C55" s="9"/>
      <c r="D55" s="10">
        <f t="shared" si="1"/>
        <v>155.4</v>
      </c>
      <c r="E55" s="11"/>
      <c r="F55" s="11">
        <v>155.4</v>
      </c>
      <c r="G55" s="9"/>
      <c r="H55" s="9"/>
    </row>
    <row r="56" spans="1:8" ht="14.25" customHeight="1" x14ac:dyDescent="0.2">
      <c r="A56" s="9">
        <v>55</v>
      </c>
      <c r="B56" s="9" t="s">
        <v>47</v>
      </c>
      <c r="C56" s="9" t="s">
        <v>71</v>
      </c>
      <c r="D56" s="10">
        <f t="shared" si="1"/>
        <v>154.80000000000001</v>
      </c>
      <c r="E56" s="11"/>
      <c r="F56" s="11">
        <v>154.80000000000001</v>
      </c>
      <c r="G56" s="9"/>
      <c r="H56" s="9"/>
    </row>
    <row r="57" spans="1:8" ht="14.25" customHeight="1" x14ac:dyDescent="0.2">
      <c r="A57" s="9"/>
      <c r="B57" s="9" t="s">
        <v>130</v>
      </c>
      <c r="C57" s="9"/>
      <c r="D57" s="10">
        <f t="shared" si="1"/>
        <v>154.4</v>
      </c>
      <c r="E57" s="11"/>
      <c r="F57" s="11"/>
      <c r="G57" s="11">
        <v>154.4</v>
      </c>
      <c r="H57" s="12"/>
    </row>
    <row r="58" spans="1:8" ht="14.25" customHeight="1" x14ac:dyDescent="0.2">
      <c r="A58" s="9"/>
      <c r="B58" s="9" t="s">
        <v>133</v>
      </c>
      <c r="C58" s="9"/>
      <c r="D58" s="10">
        <f t="shared" si="1"/>
        <v>147.19999999999999</v>
      </c>
      <c r="E58" s="11"/>
      <c r="F58" s="11"/>
      <c r="G58" s="11">
        <v>147.19999999999999</v>
      </c>
      <c r="H58" s="12"/>
    </row>
    <row r="59" spans="1:8" ht="14.25" customHeight="1" x14ac:dyDescent="0.2">
      <c r="A59" s="9">
        <v>58</v>
      </c>
      <c r="B59" s="9" t="s">
        <v>115</v>
      </c>
      <c r="C59" s="9"/>
      <c r="D59" s="10">
        <f t="shared" si="1"/>
        <v>147</v>
      </c>
      <c r="E59" s="11">
        <v>147</v>
      </c>
      <c r="F59" s="11"/>
      <c r="G59" s="9"/>
      <c r="H59" s="9"/>
    </row>
    <row r="60" spans="1:8" ht="14.25" customHeight="1" x14ac:dyDescent="0.2">
      <c r="A60" s="9">
        <v>59</v>
      </c>
      <c r="B60" s="9" t="s">
        <v>61</v>
      </c>
      <c r="C60" s="9"/>
      <c r="D60" s="10">
        <f t="shared" si="1"/>
        <v>136.80000000000001</v>
      </c>
      <c r="E60" s="11"/>
      <c r="F60" s="11"/>
      <c r="G60" s="11"/>
      <c r="H60" s="12">
        <v>136.80000000000001</v>
      </c>
    </row>
    <row r="61" spans="1:8" ht="14.25" customHeight="1" x14ac:dyDescent="0.2">
      <c r="A61" s="9">
        <v>60</v>
      </c>
      <c r="B61" s="9" t="s">
        <v>131</v>
      </c>
      <c r="C61" s="9"/>
      <c r="D61" s="10">
        <f t="shared" si="1"/>
        <v>130.4</v>
      </c>
      <c r="E61" s="11"/>
      <c r="F61" s="11">
        <v>130.4</v>
      </c>
      <c r="G61" s="9"/>
      <c r="H61" s="9"/>
    </row>
    <row r="62" spans="1:8" ht="14.25" customHeight="1" x14ac:dyDescent="0.2">
      <c r="A62" s="9">
        <v>61</v>
      </c>
      <c r="B62" s="9"/>
      <c r="C62" s="9"/>
      <c r="D62" s="10">
        <f t="shared" ref="D62" si="2">SUM(E62:H62)</f>
        <v>0</v>
      </c>
      <c r="E62" s="11"/>
      <c r="F62" s="11"/>
      <c r="G62" s="11"/>
      <c r="H62" s="12"/>
    </row>
  </sheetData>
  <sortState ref="B2:H61">
    <sortCondition descending="1" ref="D2:D6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Puchar Świata</vt:lpstr>
      <vt:lpstr>Drużynowy Puchar Świata</vt:lpstr>
      <vt:lpstr>FTT</vt:lpstr>
      <vt:lpstr>TCS</vt:lpstr>
      <vt:lpstr>TCS!comp_replay.php?id_121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2013-02-17T16:49:24Z</dcterms:modified>
</cp:coreProperties>
</file>