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showInkAnnotation="0" autoCompressPictures="0"/>
  <bookViews>
    <workbookView xWindow="0" yWindow="0" windowWidth="25600" windowHeight="15480" tabRatio="562"/>
  </bookViews>
  <sheets>
    <sheet name="NMZ" sheetId="1" r:id="rId1"/>
    <sheet name="Herblore" sheetId="2" r:id="rId2"/>
    <sheet name="Unid Calc" sheetId="3" r:id="rId3"/>
    <sheet name="Decanting" sheetId="7" r:id="rId4"/>
    <sheet name="Gem and Crafting Calcs" sheetId="5" r:id="rId5"/>
    <sheet name="Fletching and Alching" sheetId="6" r:id="rId6"/>
    <sheet name="Cooking" sheetId="8" r:id="rId7"/>
    <sheet name="Construction" sheetId="10" r:id="rId8"/>
    <sheet name="Farming" sheetId="11" r:id="rId9"/>
    <sheet name="Other" sheetId="9" r:id="rId10"/>
    <sheet name="Database" sheetId="4" r:id="rId1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6" i="3" l="1"/>
  <c r="F15" i="3"/>
  <c r="F17" i="3"/>
  <c r="D16" i="3"/>
  <c r="D15" i="3"/>
  <c r="F14" i="3"/>
  <c r="D14" i="3"/>
  <c r="E27" i="11"/>
  <c r="C27" i="11"/>
  <c r="G27" i="11"/>
  <c r="H27" i="11"/>
  <c r="B27" i="11"/>
  <c r="D14" i="11"/>
  <c r="I14" i="11"/>
  <c r="K14" i="11"/>
  <c r="F14" i="11"/>
  <c r="B14" i="11"/>
  <c r="D13" i="11"/>
  <c r="D10" i="11"/>
  <c r="F10" i="11"/>
  <c r="I10" i="11"/>
  <c r="K10" i="11"/>
  <c r="D11" i="11"/>
  <c r="F11" i="11"/>
  <c r="I11" i="11"/>
  <c r="K11" i="11"/>
  <c r="D12" i="11"/>
  <c r="F12" i="11"/>
  <c r="I12" i="11"/>
  <c r="K12" i="11"/>
  <c r="F13" i="11"/>
  <c r="I13" i="11"/>
  <c r="K13" i="11"/>
  <c r="D9" i="11"/>
  <c r="I9" i="11"/>
  <c r="K9" i="11"/>
  <c r="E23" i="11"/>
  <c r="C23" i="11"/>
  <c r="G23" i="11"/>
  <c r="H23" i="11"/>
  <c r="E24" i="11"/>
  <c r="C24" i="11"/>
  <c r="G24" i="11"/>
  <c r="H24" i="11"/>
  <c r="E25" i="11"/>
  <c r="C25" i="11"/>
  <c r="G25" i="11"/>
  <c r="H25" i="11"/>
  <c r="E26" i="11"/>
  <c r="C26" i="11"/>
  <c r="G26" i="11"/>
  <c r="H26" i="11"/>
  <c r="E22" i="11"/>
  <c r="C22" i="11"/>
  <c r="G22" i="11"/>
  <c r="H22" i="11"/>
  <c r="C23" i="10"/>
  <c r="B23" i="11"/>
  <c r="B24" i="11"/>
  <c r="B25" i="11"/>
  <c r="B26" i="11"/>
  <c r="B22" i="11"/>
  <c r="F9" i="11"/>
  <c r="B10" i="11"/>
  <c r="B11" i="11"/>
  <c r="B12" i="11"/>
  <c r="B13" i="11"/>
  <c r="B9" i="11"/>
  <c r="F14" i="9"/>
  <c r="G14" i="9"/>
  <c r="D14" i="9"/>
  <c r="C14" i="9"/>
  <c r="E14" i="9"/>
  <c r="H14" i="9"/>
  <c r="F15" i="9"/>
  <c r="G15" i="9"/>
  <c r="C15" i="9"/>
  <c r="E15" i="9"/>
  <c r="H15" i="9"/>
  <c r="F16" i="9"/>
  <c r="G16" i="9"/>
  <c r="D16" i="9"/>
  <c r="C16" i="9"/>
  <c r="E16" i="9"/>
  <c r="H16" i="9"/>
  <c r="F17" i="9"/>
  <c r="G17" i="9"/>
  <c r="D17" i="9"/>
  <c r="C17" i="9"/>
  <c r="E17" i="9"/>
  <c r="H17" i="9"/>
  <c r="F18" i="9"/>
  <c r="G18" i="9"/>
  <c r="D18" i="9"/>
  <c r="C18" i="9"/>
  <c r="E18" i="9"/>
  <c r="H18" i="9"/>
  <c r="F13" i="9"/>
  <c r="G13" i="9"/>
  <c r="C13" i="9"/>
  <c r="E13" i="9"/>
  <c r="H13" i="9"/>
  <c r="E10" i="6"/>
  <c r="B24" i="10"/>
  <c r="C24" i="10"/>
  <c r="D24" i="10"/>
  <c r="F24" i="10"/>
  <c r="B25" i="10"/>
  <c r="C25" i="10"/>
  <c r="D25" i="10"/>
  <c r="F25" i="10"/>
  <c r="B26" i="10"/>
  <c r="C26" i="10"/>
  <c r="D26" i="10"/>
  <c r="F26" i="10"/>
  <c r="D23" i="10"/>
  <c r="B23" i="10"/>
  <c r="F23" i="10"/>
  <c r="E12" i="2"/>
  <c r="B13" i="10"/>
  <c r="D13" i="10"/>
  <c r="B14" i="10"/>
  <c r="D14" i="10"/>
  <c r="B15" i="10"/>
  <c r="D15" i="10"/>
  <c r="B12" i="10"/>
  <c r="D12" i="10"/>
  <c r="J15" i="9"/>
  <c r="J14" i="9"/>
  <c r="J16" i="9"/>
  <c r="J17" i="9"/>
  <c r="J18" i="9"/>
  <c r="J13" i="9"/>
  <c r="G10" i="2"/>
  <c r="E9" i="6"/>
  <c r="D9" i="6"/>
  <c r="C9" i="6"/>
  <c r="F9" i="6"/>
  <c r="H9" i="6"/>
  <c r="D10" i="6"/>
  <c r="C10" i="6"/>
  <c r="F10" i="6"/>
  <c r="H10" i="6"/>
  <c r="E11" i="6"/>
  <c r="D11" i="6"/>
  <c r="C11" i="6"/>
  <c r="C47" i="1"/>
  <c r="D47" i="1"/>
  <c r="C48" i="1"/>
  <c r="D48" i="1"/>
  <c r="C49" i="1"/>
  <c r="D49" i="1"/>
  <c r="C50" i="1"/>
  <c r="D50" i="1"/>
  <c r="C51" i="1"/>
  <c r="D51" i="1"/>
  <c r="C52" i="1"/>
  <c r="D52" i="1"/>
  <c r="C53" i="1"/>
  <c r="D53" i="1"/>
  <c r="C54" i="1"/>
  <c r="D54" i="1"/>
  <c r="C55" i="1"/>
  <c r="D55" i="1"/>
  <c r="C56" i="1"/>
  <c r="D56" i="1"/>
  <c r="C57" i="1"/>
  <c r="D57" i="1"/>
  <c r="C58" i="1"/>
  <c r="D58" i="1"/>
  <c r="C59" i="1"/>
  <c r="D59" i="1"/>
  <c r="C60" i="1"/>
  <c r="D60" i="1"/>
  <c r="D62" i="1"/>
  <c r="D64" i="1"/>
  <c r="E12" i="6"/>
  <c r="D12" i="6"/>
  <c r="C12" i="6"/>
  <c r="F12" i="6"/>
  <c r="H12" i="6"/>
  <c r="F11" i="6"/>
  <c r="H11" i="6"/>
  <c r="G18" i="8"/>
  <c r="I18" i="8"/>
  <c r="G19" i="8"/>
  <c r="I19" i="8"/>
  <c r="E17" i="8"/>
  <c r="D30" i="8"/>
  <c r="E14" i="8"/>
  <c r="D29" i="8"/>
  <c r="E11" i="8"/>
  <c r="D28" i="8"/>
  <c r="E10" i="8"/>
  <c r="D27" i="8"/>
  <c r="E9" i="8"/>
  <c r="D26" i="8"/>
  <c r="F9" i="8"/>
  <c r="G9" i="8"/>
  <c r="E26" i="8"/>
  <c r="F10" i="8"/>
  <c r="G10" i="8"/>
  <c r="E27" i="8"/>
  <c r="F11" i="8"/>
  <c r="G11" i="8"/>
  <c r="E28" i="8"/>
  <c r="F14" i="8"/>
  <c r="G14" i="8"/>
  <c r="E29" i="8"/>
  <c r="F17" i="8"/>
  <c r="G17" i="8"/>
  <c r="E30" i="8"/>
  <c r="E32" i="8"/>
  <c r="D32" i="8"/>
  <c r="I10" i="8"/>
  <c r="I11" i="8"/>
  <c r="F12" i="8"/>
  <c r="E12" i="8"/>
  <c r="G12" i="8"/>
  <c r="I12" i="8"/>
  <c r="F13" i="8"/>
  <c r="E13" i="8"/>
  <c r="G13" i="8"/>
  <c r="I13" i="8"/>
  <c r="I14" i="8"/>
  <c r="F15" i="8"/>
  <c r="E15" i="8"/>
  <c r="G15" i="8"/>
  <c r="I15" i="8"/>
  <c r="F16" i="8"/>
  <c r="E16" i="8"/>
  <c r="G16" i="8"/>
  <c r="I16" i="8"/>
  <c r="I17" i="8"/>
  <c r="I9" i="8"/>
  <c r="G51" i="5"/>
  <c r="E51" i="5"/>
  <c r="F51" i="5"/>
  <c r="H51" i="5"/>
  <c r="I51" i="5"/>
  <c r="E48" i="5"/>
  <c r="G49" i="5"/>
  <c r="E50" i="5"/>
  <c r="F50" i="5"/>
  <c r="G50" i="5"/>
  <c r="H50" i="5"/>
  <c r="I50" i="5"/>
  <c r="E49" i="5"/>
  <c r="F49" i="5"/>
  <c r="H49" i="5"/>
  <c r="I49" i="5"/>
  <c r="G48" i="5"/>
  <c r="F48" i="5"/>
  <c r="H48" i="5"/>
  <c r="I48" i="5"/>
  <c r="D13" i="3"/>
  <c r="F13" i="3"/>
  <c r="D5" i="3"/>
  <c r="F5" i="3"/>
  <c r="D6" i="3"/>
  <c r="F6" i="3"/>
  <c r="D7" i="3"/>
  <c r="F7" i="3"/>
  <c r="D8" i="3"/>
  <c r="F8" i="3"/>
  <c r="D9" i="3"/>
  <c r="F9" i="3"/>
  <c r="D10" i="3"/>
  <c r="F10" i="3"/>
  <c r="D11" i="3"/>
  <c r="F11" i="3"/>
  <c r="D12" i="3"/>
  <c r="F12" i="3"/>
  <c r="F20" i="2"/>
  <c r="H20" i="2"/>
  <c r="E20" i="2"/>
  <c r="I20" i="2"/>
  <c r="K20" i="2"/>
  <c r="E15" i="2"/>
  <c r="F15" i="2"/>
  <c r="C30" i="2"/>
  <c r="E18" i="2"/>
  <c r="F18" i="2"/>
  <c r="C31" i="2"/>
  <c r="C32" i="2"/>
  <c r="C35" i="2"/>
  <c r="F35" i="2"/>
  <c r="G35" i="2"/>
  <c r="D34" i="2"/>
  <c r="F30" i="2"/>
  <c r="H15" i="2"/>
  <c r="I15" i="2"/>
  <c r="G30" i="2"/>
  <c r="F31" i="2"/>
  <c r="H18" i="2"/>
  <c r="I18" i="2"/>
  <c r="G31" i="2"/>
  <c r="F32" i="2"/>
  <c r="G32" i="2"/>
  <c r="B40" i="3"/>
  <c r="E22" i="2"/>
  <c r="H10" i="2"/>
  <c r="E10" i="2"/>
  <c r="F10" i="2"/>
  <c r="I10" i="2"/>
  <c r="E42" i="2"/>
  <c r="H11" i="2"/>
  <c r="E11" i="2"/>
  <c r="F11" i="2"/>
  <c r="I11" i="2"/>
  <c r="E43" i="2"/>
  <c r="H12" i="2"/>
  <c r="F12" i="2"/>
  <c r="I12" i="2"/>
  <c r="E44" i="2"/>
  <c r="H13" i="2"/>
  <c r="E13" i="2"/>
  <c r="F13" i="2"/>
  <c r="I13" i="2"/>
  <c r="E45" i="2"/>
  <c r="H14" i="2"/>
  <c r="E14" i="2"/>
  <c r="F14" i="2"/>
  <c r="I14" i="2"/>
  <c r="E46" i="2"/>
  <c r="E47" i="2"/>
  <c r="E48" i="2"/>
  <c r="E50" i="2"/>
  <c r="D42" i="2"/>
  <c r="D43" i="2"/>
  <c r="D44" i="2"/>
  <c r="D45" i="2"/>
  <c r="D46" i="2"/>
  <c r="D47" i="2"/>
  <c r="D48" i="2"/>
  <c r="D50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1" i="2"/>
  <c r="B71" i="2"/>
  <c r="E34" i="7"/>
  <c r="C29" i="7"/>
  <c r="E29" i="7"/>
  <c r="B29" i="7"/>
  <c r="D29" i="7"/>
  <c r="G29" i="7"/>
  <c r="H29" i="7"/>
  <c r="C28" i="7"/>
  <c r="E28" i="7"/>
  <c r="B28" i="7"/>
  <c r="D28" i="7"/>
  <c r="G28" i="7"/>
  <c r="H28" i="7"/>
  <c r="C27" i="7"/>
  <c r="E27" i="7"/>
  <c r="B27" i="7"/>
  <c r="D27" i="7"/>
  <c r="G27" i="7"/>
  <c r="H27" i="7"/>
  <c r="C26" i="7"/>
  <c r="E26" i="7"/>
  <c r="B26" i="7"/>
  <c r="D26" i="7"/>
  <c r="G26" i="7"/>
  <c r="H26" i="7"/>
  <c r="C25" i="7"/>
  <c r="E25" i="7"/>
  <c r="B25" i="7"/>
  <c r="D25" i="7"/>
  <c r="G25" i="7"/>
  <c r="H25" i="7"/>
  <c r="C24" i="7"/>
  <c r="E24" i="7"/>
  <c r="B24" i="7"/>
  <c r="D24" i="7"/>
  <c r="G24" i="7"/>
  <c r="H24" i="7"/>
  <c r="C23" i="7"/>
  <c r="E23" i="7"/>
  <c r="B23" i="7"/>
  <c r="D23" i="7"/>
  <c r="G23" i="7"/>
  <c r="H23" i="7"/>
  <c r="C22" i="7"/>
  <c r="E22" i="7"/>
  <c r="B22" i="7"/>
  <c r="D22" i="7"/>
  <c r="G22" i="7"/>
  <c r="H22" i="7"/>
  <c r="C21" i="7"/>
  <c r="E21" i="7"/>
  <c r="B21" i="7"/>
  <c r="D21" i="7"/>
  <c r="G21" i="7"/>
  <c r="H21" i="7"/>
  <c r="C20" i="7"/>
  <c r="E20" i="7"/>
  <c r="B20" i="7"/>
  <c r="D20" i="7"/>
  <c r="G20" i="7"/>
  <c r="H20" i="7"/>
  <c r="C19" i="7"/>
  <c r="E19" i="7"/>
  <c r="B19" i="7"/>
  <c r="D19" i="7"/>
  <c r="G19" i="7"/>
  <c r="H19" i="7"/>
  <c r="C18" i="7"/>
  <c r="E18" i="7"/>
  <c r="B18" i="7"/>
  <c r="D18" i="7"/>
  <c r="G18" i="7"/>
  <c r="H18" i="7"/>
  <c r="C17" i="7"/>
  <c r="E17" i="7"/>
  <c r="B17" i="7"/>
  <c r="D17" i="7"/>
  <c r="G17" i="7"/>
  <c r="H17" i="7"/>
  <c r="C16" i="7"/>
  <c r="E16" i="7"/>
  <c r="B16" i="7"/>
  <c r="D16" i="7"/>
  <c r="G16" i="7"/>
  <c r="H16" i="7"/>
  <c r="C15" i="7"/>
  <c r="E15" i="7"/>
  <c r="B15" i="7"/>
  <c r="D15" i="7"/>
  <c r="G15" i="7"/>
  <c r="H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29" i="7"/>
  <c r="F15" i="7"/>
  <c r="E74" i="4"/>
  <c r="E72" i="4"/>
  <c r="D73" i="6"/>
  <c r="C73" i="6"/>
  <c r="E73" i="6"/>
  <c r="F73" i="6"/>
  <c r="D68" i="6"/>
  <c r="C68" i="6"/>
  <c r="B68" i="6"/>
  <c r="E68" i="6"/>
  <c r="D69" i="6"/>
  <c r="C69" i="6"/>
  <c r="B69" i="6"/>
  <c r="E69" i="6"/>
  <c r="D70" i="6"/>
  <c r="C70" i="6"/>
  <c r="B70" i="6"/>
  <c r="E70" i="6"/>
  <c r="D71" i="6"/>
  <c r="C71" i="6"/>
  <c r="B71" i="6"/>
  <c r="E71" i="6"/>
  <c r="D72" i="6"/>
  <c r="C72" i="6"/>
  <c r="B72" i="6"/>
  <c r="E72" i="6"/>
  <c r="D67" i="6"/>
  <c r="C67" i="6"/>
  <c r="B67" i="6"/>
  <c r="E67" i="6"/>
  <c r="F68" i="6"/>
  <c r="F69" i="6"/>
  <c r="F70" i="6"/>
  <c r="F71" i="6"/>
  <c r="F72" i="6"/>
  <c r="F67" i="6"/>
  <c r="G56" i="6"/>
  <c r="F56" i="6"/>
  <c r="E56" i="6"/>
  <c r="D56" i="6"/>
  <c r="H56" i="6"/>
  <c r="K56" i="6"/>
  <c r="G57" i="6"/>
  <c r="F57" i="6"/>
  <c r="E57" i="6"/>
  <c r="D57" i="6"/>
  <c r="H57" i="6"/>
  <c r="K57" i="6"/>
  <c r="G58" i="6"/>
  <c r="F58" i="6"/>
  <c r="E58" i="6"/>
  <c r="D58" i="6"/>
  <c r="H58" i="6"/>
  <c r="K58" i="6"/>
  <c r="G59" i="6"/>
  <c r="F59" i="6"/>
  <c r="E59" i="6"/>
  <c r="D59" i="6"/>
  <c r="H59" i="6"/>
  <c r="K59" i="6"/>
  <c r="G60" i="6"/>
  <c r="F60" i="6"/>
  <c r="E60" i="6"/>
  <c r="D60" i="6"/>
  <c r="H60" i="6"/>
  <c r="K60" i="6"/>
  <c r="G55" i="6"/>
  <c r="F55" i="6"/>
  <c r="E55" i="6"/>
  <c r="D55" i="6"/>
  <c r="H55" i="6"/>
  <c r="K55" i="6"/>
  <c r="J56" i="6"/>
  <c r="J57" i="6"/>
  <c r="J58" i="6"/>
  <c r="J59" i="6"/>
  <c r="J60" i="6"/>
  <c r="J55" i="6"/>
  <c r="F46" i="6"/>
  <c r="F47" i="6"/>
  <c r="F48" i="6"/>
  <c r="F45" i="6"/>
  <c r="E48" i="6"/>
  <c r="E47" i="6"/>
  <c r="E46" i="6"/>
  <c r="E45" i="6"/>
  <c r="E44" i="6"/>
  <c r="E43" i="6"/>
  <c r="D44" i="6"/>
  <c r="D45" i="6"/>
  <c r="D46" i="6"/>
  <c r="D47" i="6"/>
  <c r="D48" i="6"/>
  <c r="D43" i="6"/>
  <c r="G43" i="6"/>
  <c r="G44" i="6"/>
  <c r="G45" i="6"/>
  <c r="G46" i="6"/>
  <c r="G47" i="6"/>
  <c r="G48" i="6"/>
  <c r="I48" i="6"/>
  <c r="I47" i="6"/>
  <c r="I46" i="6"/>
  <c r="I45" i="6"/>
  <c r="I44" i="6"/>
  <c r="I43" i="6"/>
  <c r="E32" i="6"/>
  <c r="G32" i="6"/>
  <c r="F33" i="6"/>
  <c r="E33" i="6"/>
  <c r="D33" i="6"/>
  <c r="G33" i="6"/>
  <c r="F34" i="6"/>
  <c r="E34" i="6"/>
  <c r="D34" i="6"/>
  <c r="G34" i="6"/>
  <c r="F35" i="6"/>
  <c r="E35" i="6"/>
  <c r="D35" i="6"/>
  <c r="G35" i="6"/>
  <c r="F36" i="6"/>
  <c r="E36" i="6"/>
  <c r="D36" i="6"/>
  <c r="G36" i="6"/>
  <c r="E31" i="6"/>
  <c r="G31" i="6"/>
  <c r="I36" i="6"/>
  <c r="I35" i="6"/>
  <c r="I34" i="6"/>
  <c r="I33" i="6"/>
  <c r="I32" i="6"/>
  <c r="I31" i="6"/>
  <c r="D20" i="6"/>
  <c r="F20" i="6"/>
  <c r="H20" i="6"/>
  <c r="E21" i="6"/>
  <c r="D21" i="6"/>
  <c r="F21" i="6"/>
  <c r="H21" i="6"/>
  <c r="E22" i="6"/>
  <c r="D22" i="6"/>
  <c r="F22" i="6"/>
  <c r="H22" i="6"/>
  <c r="E23" i="6"/>
  <c r="D23" i="6"/>
  <c r="F23" i="6"/>
  <c r="H23" i="6"/>
  <c r="E24" i="6"/>
  <c r="D24" i="6"/>
  <c r="F24" i="6"/>
  <c r="H24" i="6"/>
  <c r="D19" i="6"/>
  <c r="F19" i="6"/>
  <c r="H19" i="6"/>
  <c r="C24" i="1"/>
  <c r="C19" i="1"/>
  <c r="C20" i="1"/>
  <c r="C21" i="1"/>
  <c r="C22" i="1"/>
  <c r="C23" i="1"/>
  <c r="C18" i="1"/>
  <c r="C15" i="1"/>
  <c r="C14" i="1"/>
  <c r="C13" i="1"/>
  <c r="C12" i="1"/>
  <c r="C11" i="1"/>
  <c r="C10" i="1"/>
  <c r="E10" i="1"/>
  <c r="F10" i="1"/>
  <c r="F25" i="1"/>
  <c r="C25" i="1"/>
  <c r="D25" i="1"/>
  <c r="H25" i="1"/>
  <c r="F24" i="1"/>
  <c r="D24" i="1"/>
  <c r="H24" i="1"/>
  <c r="F23" i="1"/>
  <c r="D23" i="1"/>
  <c r="H23" i="1"/>
  <c r="F22" i="1"/>
  <c r="D22" i="1"/>
  <c r="H22" i="1"/>
  <c r="F21" i="1"/>
  <c r="D21" i="1"/>
  <c r="H21" i="1"/>
  <c r="F20" i="1"/>
  <c r="D20" i="1"/>
  <c r="H20" i="1"/>
  <c r="F19" i="1"/>
  <c r="D19" i="1"/>
  <c r="H19" i="1"/>
  <c r="F18" i="1"/>
  <c r="D18" i="1"/>
  <c r="H18" i="1"/>
  <c r="F17" i="1"/>
  <c r="D17" i="1"/>
  <c r="H17" i="1"/>
  <c r="F16" i="1"/>
  <c r="D16" i="1"/>
  <c r="H16" i="1"/>
  <c r="F15" i="1"/>
  <c r="D15" i="1"/>
  <c r="H15" i="1"/>
  <c r="F14" i="1"/>
  <c r="D14" i="1"/>
  <c r="H14" i="1"/>
  <c r="F13" i="1"/>
  <c r="D13" i="1"/>
  <c r="H13" i="1"/>
  <c r="F12" i="1"/>
  <c r="D12" i="1"/>
  <c r="H12" i="1"/>
  <c r="F11" i="1"/>
  <c r="D11" i="1"/>
  <c r="H11" i="1"/>
  <c r="G11" i="1"/>
  <c r="G12" i="1"/>
  <c r="G13" i="1"/>
  <c r="G14" i="1"/>
  <c r="G16" i="1"/>
  <c r="G18" i="1"/>
  <c r="G19" i="1"/>
  <c r="G20" i="1"/>
  <c r="G21" i="1"/>
  <c r="G23" i="1"/>
  <c r="G24" i="1"/>
  <c r="D10" i="1"/>
  <c r="D27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G15" i="1"/>
  <c r="G17" i="1"/>
  <c r="G22" i="1"/>
  <c r="G25" i="1"/>
  <c r="H24" i="2"/>
  <c r="H23" i="2"/>
  <c r="E21" i="2"/>
  <c r="K10" i="2"/>
  <c r="E23" i="2"/>
  <c r="F23" i="2"/>
  <c r="I23" i="2"/>
  <c r="K23" i="2"/>
  <c r="E24" i="2"/>
  <c r="F24" i="2"/>
  <c r="I24" i="2"/>
  <c r="K24" i="2"/>
  <c r="C25" i="3"/>
  <c r="D25" i="3"/>
  <c r="C26" i="3"/>
  <c r="D26" i="3"/>
  <c r="C27" i="3"/>
  <c r="D27" i="3"/>
  <c r="C28" i="3"/>
  <c r="D28" i="3"/>
  <c r="C29" i="3"/>
  <c r="D29" i="3"/>
  <c r="C30" i="3"/>
  <c r="D30" i="3"/>
  <c r="C31" i="3"/>
  <c r="D31" i="3"/>
  <c r="C32" i="3"/>
  <c r="D32" i="3"/>
  <c r="C33" i="3"/>
  <c r="D33" i="3"/>
  <c r="C34" i="3"/>
  <c r="D34" i="3"/>
  <c r="C35" i="3"/>
  <c r="D35" i="3"/>
  <c r="C36" i="3"/>
  <c r="D36" i="3"/>
  <c r="C37" i="3"/>
  <c r="D37" i="3"/>
  <c r="C38" i="3"/>
  <c r="D38" i="3"/>
  <c r="D40" i="3"/>
  <c r="D42" i="3"/>
  <c r="C31" i="5"/>
  <c r="D31" i="5"/>
  <c r="C32" i="5"/>
  <c r="D32" i="5"/>
  <c r="C33" i="5"/>
  <c r="D33" i="5"/>
  <c r="C34" i="5"/>
  <c r="D34" i="5"/>
  <c r="C35" i="5"/>
  <c r="D35" i="5"/>
  <c r="C36" i="5"/>
  <c r="D36" i="5"/>
  <c r="C37" i="5"/>
  <c r="D37" i="5"/>
  <c r="C38" i="5"/>
  <c r="D38" i="5"/>
  <c r="C39" i="5"/>
  <c r="D39" i="5"/>
  <c r="C40" i="5"/>
  <c r="D40" i="5"/>
  <c r="D42" i="5"/>
  <c r="C21" i="5"/>
  <c r="B21" i="5"/>
  <c r="E21" i="5"/>
  <c r="F21" i="5"/>
  <c r="C22" i="5"/>
  <c r="B22" i="5"/>
  <c r="E22" i="5"/>
  <c r="F22" i="5"/>
  <c r="C23" i="5"/>
  <c r="B23" i="5"/>
  <c r="E23" i="5"/>
  <c r="F23" i="5"/>
  <c r="C24" i="5"/>
  <c r="B24" i="5"/>
  <c r="E24" i="5"/>
  <c r="F24" i="5"/>
  <c r="C20" i="5"/>
  <c r="B20" i="5"/>
  <c r="E20" i="5"/>
  <c r="F20" i="5"/>
  <c r="B11" i="5"/>
  <c r="D11" i="5"/>
  <c r="B12" i="5"/>
  <c r="D12" i="5"/>
  <c r="B13" i="5"/>
  <c r="D13" i="5"/>
  <c r="B14" i="5"/>
  <c r="D14" i="5"/>
  <c r="B10" i="5"/>
  <c r="D10" i="5"/>
  <c r="H16" i="2"/>
  <c r="H17" i="2"/>
  <c r="H19" i="2"/>
  <c r="H21" i="2"/>
  <c r="H22" i="2"/>
  <c r="F21" i="2"/>
  <c r="F22" i="2"/>
  <c r="F17" i="2"/>
  <c r="F19" i="2"/>
  <c r="F16" i="2"/>
  <c r="E16" i="2"/>
  <c r="E17" i="2"/>
  <c r="E19" i="2"/>
  <c r="I21" i="2"/>
  <c r="K21" i="2"/>
  <c r="I22" i="2"/>
  <c r="K22" i="2"/>
  <c r="B62" i="1"/>
  <c r="C34" i="2"/>
  <c r="E34" i="2"/>
  <c r="D32" i="2"/>
  <c r="E32" i="2"/>
  <c r="D31" i="2"/>
  <c r="E31" i="2"/>
  <c r="D30" i="2"/>
  <c r="E30" i="2"/>
  <c r="I19" i="2"/>
  <c r="K19" i="2"/>
  <c r="K18" i="2"/>
  <c r="I17" i="2"/>
  <c r="K17" i="2"/>
  <c r="I16" i="2"/>
  <c r="K16" i="2"/>
  <c r="K15" i="2"/>
  <c r="K14" i="2"/>
  <c r="K13" i="2"/>
  <c r="K12" i="2"/>
  <c r="K11" i="2"/>
  <c r="H10" i="1"/>
  <c r="H27" i="1"/>
  <c r="C30" i="1"/>
  <c r="G10" i="1"/>
  <c r="G27" i="1"/>
</calcChain>
</file>

<file path=xl/sharedStrings.xml><?xml version="1.0" encoding="utf-8"?>
<sst xmlns="http://schemas.openxmlformats.org/spreadsheetml/2006/main" count="794" uniqueCount="381">
  <si>
    <t>NMZ Rewards</t>
  </si>
  <si>
    <t>Snape Grass</t>
  </si>
  <si>
    <t>Red Spider Eggs</t>
  </si>
  <si>
    <t>Flax</t>
  </si>
  <si>
    <t>Bucket of Sand</t>
  </si>
  <si>
    <t>Potato Cactus</t>
  </si>
  <si>
    <t>Drag Scale Dust</t>
  </si>
  <si>
    <t>Compost Potion</t>
  </si>
  <si>
    <t>Air Rune</t>
  </si>
  <si>
    <t>Water Rune</t>
  </si>
  <si>
    <t>Earth Rune</t>
  </si>
  <si>
    <t>Fire Rune</t>
  </si>
  <si>
    <t>Rune Ess</t>
  </si>
  <si>
    <t>Pure Ess</t>
  </si>
  <si>
    <t>Vial of Water</t>
  </si>
  <si>
    <t>Seaweed</t>
  </si>
  <si>
    <t>GP</t>
  </si>
  <si>
    <t>Cost (points)</t>
  </si>
  <si>
    <t>GP/Point</t>
  </si>
  <si>
    <t>Chpy's 07 Spread Sheet</t>
  </si>
  <si>
    <t>NMZ Calc</t>
  </si>
  <si>
    <t>Herblore Calc</t>
  </si>
  <si>
    <t>Potion Name</t>
  </si>
  <si>
    <t>Antipoison</t>
  </si>
  <si>
    <t>Lvl Req</t>
  </si>
  <si>
    <t>Secondary</t>
  </si>
  <si>
    <t>(3) Dose Price</t>
  </si>
  <si>
    <t>Profit/Loss</t>
  </si>
  <si>
    <t>Marrentil</t>
  </si>
  <si>
    <t>Herb</t>
  </si>
  <si>
    <t>Second Price</t>
  </si>
  <si>
    <t>Energy</t>
  </si>
  <si>
    <t>Un Horn Dust</t>
  </si>
  <si>
    <t>Chocolate Dust</t>
  </si>
  <si>
    <t>Harralander</t>
  </si>
  <si>
    <t>Prayer</t>
  </si>
  <si>
    <t>Ranarr</t>
  </si>
  <si>
    <t>Exp</t>
  </si>
  <si>
    <t>Gp/Exp</t>
  </si>
  <si>
    <t>Restore</t>
  </si>
  <si>
    <t>Red Spiders' Eggs</t>
  </si>
  <si>
    <t>Level Range</t>
  </si>
  <si>
    <t>3 to 5</t>
  </si>
  <si>
    <t>Potion</t>
  </si>
  <si>
    <t>Amount</t>
  </si>
  <si>
    <t>5 to 22</t>
  </si>
  <si>
    <t>Attack</t>
  </si>
  <si>
    <t>Cost (w/ selling)</t>
  </si>
  <si>
    <t>26 to 38</t>
  </si>
  <si>
    <t>Super Attack</t>
  </si>
  <si>
    <t>Irit</t>
  </si>
  <si>
    <t>Eye of Newt</t>
  </si>
  <si>
    <t>38 to 45</t>
  </si>
  <si>
    <t>Cost (w/o Selling)</t>
  </si>
  <si>
    <t>Total Cost</t>
  </si>
  <si>
    <t>Super Strength</t>
  </si>
  <si>
    <t>Kwuarm</t>
  </si>
  <si>
    <t>Limpwurt Root</t>
  </si>
  <si>
    <t>45 to 55</t>
  </si>
  <si>
    <t>Super Resore</t>
  </si>
  <si>
    <t>Snapdragon</t>
  </si>
  <si>
    <t>55 to 63</t>
  </si>
  <si>
    <t>Super AntiPoison</t>
  </si>
  <si>
    <t>Super Energy</t>
  </si>
  <si>
    <t>Avantoe</t>
  </si>
  <si>
    <t>Mort Myre Fungus</t>
  </si>
  <si>
    <t>Cost/Inv (approx)</t>
  </si>
  <si>
    <t>Super Defence</t>
  </si>
  <si>
    <t>Cadantine</t>
  </si>
  <si>
    <t>White Berries</t>
  </si>
  <si>
    <t>Super Set Calc</t>
  </si>
  <si>
    <t>Cost To Make</t>
  </si>
  <si>
    <t>Super Set</t>
  </si>
  <si>
    <t>Profit</t>
  </si>
  <si>
    <t>22 to 26</t>
  </si>
  <si>
    <t>Herb Price</t>
  </si>
  <si>
    <t>Herb Guide (1-63)</t>
  </si>
  <si>
    <t>Cost of Ppot (4)</t>
  </si>
  <si>
    <t>Ovl</t>
  </si>
  <si>
    <t>Price</t>
  </si>
  <si>
    <t>Money from</t>
  </si>
  <si>
    <t>Guam</t>
  </si>
  <si>
    <t>Marrentill</t>
  </si>
  <si>
    <t>Tarromin</t>
  </si>
  <si>
    <t>Harrlander</t>
  </si>
  <si>
    <t>Toadflax</t>
  </si>
  <si>
    <t>Lantadyme</t>
  </si>
  <si>
    <t>Dwarf weed</t>
  </si>
  <si>
    <t>Torstol</t>
  </si>
  <si>
    <t>TOTALS</t>
  </si>
  <si>
    <t>Herb Box Calc*</t>
  </si>
  <si>
    <t>Average (90 boxes)</t>
  </si>
  <si>
    <t>UNID LOG</t>
  </si>
  <si>
    <t>Price Ea</t>
  </si>
  <si>
    <t>Total</t>
  </si>
  <si>
    <t>Price of Herbs</t>
  </si>
  <si>
    <t>Profit Calc</t>
  </si>
  <si>
    <t>Herblore Guides, Rates, and Cost</t>
  </si>
  <si>
    <t>Stacks</t>
  </si>
  <si>
    <t>Total Profit</t>
  </si>
  <si>
    <t>Total Exp Calc</t>
  </si>
  <si>
    <t>Exp Per</t>
  </si>
  <si>
    <t>Total Exp From Pot</t>
  </si>
  <si>
    <t>Total Exp Banked</t>
  </si>
  <si>
    <t>Potions Banked</t>
  </si>
  <si>
    <t>Antifire</t>
  </si>
  <si>
    <t>Ranging</t>
  </si>
  <si>
    <t>Dragon Scale Dust</t>
  </si>
  <si>
    <t>Dwarf Weed</t>
  </si>
  <si>
    <t>Wine of Zamorak</t>
  </si>
  <si>
    <t>Herb Prices</t>
  </si>
  <si>
    <t>Secondary Prices</t>
  </si>
  <si>
    <t>Potion prices</t>
  </si>
  <si>
    <t>3 Dose</t>
  </si>
  <si>
    <t>4 Dose</t>
  </si>
  <si>
    <t>Gem Rates, Cost, and Gp/Exp</t>
  </si>
  <si>
    <t>Uncut Calc</t>
  </si>
  <si>
    <t>Gem Name</t>
  </si>
  <si>
    <t>Sapphire</t>
  </si>
  <si>
    <t>Emerald</t>
  </si>
  <si>
    <t>Ruby</t>
  </si>
  <si>
    <t>Diamond</t>
  </si>
  <si>
    <t>Assumes you DO NOT Resell</t>
  </si>
  <si>
    <t>Gem Prices</t>
  </si>
  <si>
    <t>Uncut Price</t>
  </si>
  <si>
    <t>Cut Price</t>
  </si>
  <si>
    <t>Dragonstone</t>
  </si>
  <si>
    <t>Assumes you DO resell</t>
  </si>
  <si>
    <t>Gem Price Calc</t>
  </si>
  <si>
    <t xml:space="preserve">Total </t>
  </si>
  <si>
    <t>Uncut Sapphire</t>
  </si>
  <si>
    <t>Uncut Diamond</t>
  </si>
  <si>
    <t>Uncut Emerald</t>
  </si>
  <si>
    <t>Uncut Ruby</t>
  </si>
  <si>
    <t>Total Price</t>
  </si>
  <si>
    <t>Uncut Dstone</t>
  </si>
  <si>
    <t>Amount Paid</t>
  </si>
  <si>
    <t>Crushed Nest</t>
  </si>
  <si>
    <t>Saradomin Brew</t>
  </si>
  <si>
    <t>Magic</t>
  </si>
  <si>
    <t>Reward</t>
  </si>
  <si>
    <t>NMZ Rewards*</t>
  </si>
  <si>
    <t>*Note: Prices for items that are secondary</t>
  </si>
  <si>
    <t>ingredients are not listed here</t>
  </si>
  <si>
    <t>Herb Box**</t>
  </si>
  <si>
    <t>Rune Ess*</t>
  </si>
  <si>
    <t>Compost Potion*</t>
  </si>
  <si>
    <t>Seaweed*</t>
  </si>
  <si>
    <t>Cost (pts)</t>
  </si>
  <si>
    <r>
      <rPr>
        <b/>
        <sz val="12"/>
        <color theme="5"/>
        <rFont val="Calibri"/>
        <scheme val="minor"/>
      </rPr>
      <t>*Note:</t>
    </r>
    <r>
      <rPr>
        <sz val="12"/>
        <color theme="1"/>
        <rFont val="Calibri"/>
        <family val="2"/>
        <scheme val="minor"/>
      </rPr>
      <t xml:space="preserve"> Items marked with a (*) are not trade often, if at all</t>
    </r>
  </si>
  <si>
    <r>
      <rPr>
        <b/>
        <sz val="12"/>
        <color theme="5"/>
        <rFont val="Calibri"/>
        <scheme val="minor"/>
      </rPr>
      <t>**Note:</t>
    </r>
    <r>
      <rPr>
        <b/>
        <sz val="12"/>
        <rFont val="Calibri"/>
        <scheme val="minor"/>
      </rPr>
      <t xml:space="preserve"> </t>
    </r>
    <r>
      <rPr>
        <sz val="12"/>
        <rFont val="Calibri"/>
        <scheme val="minor"/>
      </rPr>
      <t>Herb boxes can only be purchased in amounts of 15 per day</t>
    </r>
  </si>
  <si>
    <t>ASSUMPTIONS</t>
  </si>
  <si>
    <t>Maxed</t>
  </si>
  <si>
    <t>Your Own</t>
  </si>
  <si>
    <t>INPUT</t>
  </si>
  <si>
    <t>Profit (INPUT)</t>
  </si>
  <si>
    <t>Profit (450kPts)</t>
  </si>
  <si>
    <r>
      <t xml:space="preserve">***Note: </t>
    </r>
    <r>
      <rPr>
        <sz val="12"/>
        <rFont val="Calibri"/>
        <scheme val="minor"/>
      </rPr>
      <t>Averages do not include buying options not marked with (*) and Herb Boxes</t>
    </r>
  </si>
  <si>
    <t>Ovl GP cost is based on INPUT points/trip</t>
  </si>
  <si>
    <t>You use all supplies in your inventory</t>
  </si>
  <si>
    <t>Dream Cost</t>
  </si>
  <si>
    <t>You spend 25k on your nightmare (Cost can be changed using the 'Dream Cost' Field</t>
  </si>
  <si>
    <t>Your Inventory consists of 23 Prayer potion (4)'s and a spec weapon</t>
  </si>
  <si>
    <t>Ovl cost is not included in Cost/Inv</t>
  </si>
  <si>
    <t>Fletching and Alching Calcs</t>
  </si>
  <si>
    <t>Bow</t>
  </si>
  <si>
    <t>Logs Used</t>
  </si>
  <si>
    <t>Logs Cost</t>
  </si>
  <si>
    <t>Bow (u) Price</t>
  </si>
  <si>
    <t>Longbow</t>
  </si>
  <si>
    <t>Oak Longbow</t>
  </si>
  <si>
    <t>Willow Longbow</t>
  </si>
  <si>
    <t>Maple Longbow</t>
  </si>
  <si>
    <t>Yew Longbow</t>
  </si>
  <si>
    <t>Magic Longbow</t>
  </si>
  <si>
    <t>Normal</t>
  </si>
  <si>
    <t>Oak</t>
  </si>
  <si>
    <t>Willow</t>
  </si>
  <si>
    <t>Maple</t>
  </si>
  <si>
    <t>Yew</t>
  </si>
  <si>
    <t>Fletching Prices</t>
  </si>
  <si>
    <t>Logs</t>
  </si>
  <si>
    <t>Bows</t>
  </si>
  <si>
    <t>(u)</t>
  </si>
  <si>
    <t>Strung</t>
  </si>
  <si>
    <t>Bow String</t>
  </si>
  <si>
    <t>N/A</t>
  </si>
  <si>
    <t>Level Req</t>
  </si>
  <si>
    <t>Bow Fletching</t>
  </si>
  <si>
    <t>Bow Stringing</t>
  </si>
  <si>
    <t>Bow Price</t>
  </si>
  <si>
    <t>Complete Bows</t>
  </si>
  <si>
    <t>Alching Bows</t>
  </si>
  <si>
    <t>Alch Value</t>
  </si>
  <si>
    <t>Nat Price</t>
  </si>
  <si>
    <t>Nature Rune</t>
  </si>
  <si>
    <t>Fletching</t>
  </si>
  <si>
    <t>Alching</t>
  </si>
  <si>
    <t>Item</t>
  </si>
  <si>
    <t>Maple Longbow (u)</t>
  </si>
  <si>
    <t>Yew Longbow (u)</t>
  </si>
  <si>
    <t>Magic Longbow (u)</t>
  </si>
  <si>
    <t>Emerald Ring</t>
  </si>
  <si>
    <t>Alch Values</t>
  </si>
  <si>
    <t>Super Antipoison</t>
  </si>
  <si>
    <t>Decanting Guide</t>
  </si>
  <si>
    <t>The following guide can be used to estimate profit and/or loss of decanting 3 dose potions, into 4 dose potions</t>
  </si>
  <si>
    <t>It is worth noting, prices change all the time, so be sure to check them for accuracy in the Database</t>
  </si>
  <si>
    <t>(4) Dose Price</t>
  </si>
  <si>
    <t>Price/Dose (3)</t>
  </si>
  <si>
    <t>Price/Dose (4)</t>
  </si>
  <si>
    <t>Profit/Inventory</t>
  </si>
  <si>
    <t>Profit/Potion</t>
  </si>
  <si>
    <t>Profit/Hour</t>
  </si>
  <si>
    <r>
      <t xml:space="preserve">Note: </t>
    </r>
    <r>
      <rPr>
        <sz val="12"/>
        <color theme="1"/>
        <rFont val="Calibri"/>
        <family val="2"/>
        <scheme val="minor"/>
      </rPr>
      <t>The profit per hour assumes you decant an inventory of 3 dose potions in 22 seconds</t>
    </r>
  </si>
  <si>
    <t>To change, edit the top field labeled "Decant Time"</t>
  </si>
  <si>
    <t>Decant Time (s)</t>
  </si>
  <si>
    <t xml:space="preserve">If I decant </t>
  </si>
  <si>
    <t>3 dose potions</t>
  </si>
  <si>
    <t xml:space="preserve">I will have </t>
  </si>
  <si>
    <t>4 dose potions</t>
  </si>
  <si>
    <t>© Chpy 2013</t>
  </si>
  <si>
    <t>Nightmare Zone Calc</t>
  </si>
  <si>
    <t>Cost (GP)</t>
  </si>
  <si>
    <t>AVERAGES***</t>
  </si>
  <si>
    <t>Sell Price (3)</t>
  </si>
  <si>
    <t>Super Set (3)</t>
  </si>
  <si>
    <t>Super Set (4)</t>
  </si>
  <si>
    <t>Profit (3)</t>
  </si>
  <si>
    <t>Sell Price (4)</t>
  </si>
  <si>
    <t>Profit (4)</t>
  </si>
  <si>
    <r>
      <rPr>
        <b/>
        <sz val="12"/>
        <color theme="1"/>
        <rFont val="Calibri"/>
        <family val="2"/>
        <scheme val="minor"/>
      </rPr>
      <t>Note:</t>
    </r>
    <r>
      <rPr>
        <sz val="12"/>
        <color theme="1"/>
        <rFont val="Calibri"/>
        <family val="2"/>
        <scheme val="minor"/>
      </rPr>
      <t xml:space="preserve"> Profit of Super sets is the amount you make from selling</t>
    </r>
  </si>
  <si>
    <t>the potions as a set, instead of individually</t>
  </si>
  <si>
    <r>
      <rPr>
        <b/>
        <sz val="12"/>
        <rFont val="Calibri"/>
        <scheme val="minor"/>
      </rPr>
      <t>Note:</t>
    </r>
    <r>
      <rPr>
        <sz val="12"/>
        <rFont val="Calibri"/>
        <scheme val="minor"/>
      </rPr>
      <t xml:space="preserve"> Add your own Items by adding them to the Database</t>
    </r>
  </si>
  <si>
    <t>DO NOT EDIT THIS TABLE</t>
  </si>
  <si>
    <t>Super Restore</t>
  </si>
  <si>
    <t>D'hide Crafting</t>
  </si>
  <si>
    <t>Piece Name</t>
  </si>
  <si>
    <t>Leather</t>
  </si>
  <si>
    <t>Leathers Per</t>
  </si>
  <si>
    <t>Cost to Make</t>
  </si>
  <si>
    <t>Sell Price</t>
  </si>
  <si>
    <t>Green vamb</t>
  </si>
  <si>
    <t>Green Chaps</t>
  </si>
  <si>
    <t>Green Body</t>
  </si>
  <si>
    <t>Blue Body</t>
  </si>
  <si>
    <t>Green</t>
  </si>
  <si>
    <t>Blue</t>
  </si>
  <si>
    <t>Red</t>
  </si>
  <si>
    <t>Black</t>
  </si>
  <si>
    <t>Leather Price</t>
  </si>
  <si>
    <t>Crafting Prices</t>
  </si>
  <si>
    <t>Leathers</t>
  </si>
  <si>
    <t>Armour Pieces</t>
  </si>
  <si>
    <t>Green Vambs</t>
  </si>
  <si>
    <t>Green Bodies</t>
  </si>
  <si>
    <t>Blue Bodies</t>
  </si>
  <si>
    <t>Red Bodies</t>
  </si>
  <si>
    <t>Black Bodies</t>
  </si>
  <si>
    <r>
      <rPr>
        <b/>
        <sz val="12"/>
        <color theme="5"/>
        <rFont val="Calibri"/>
        <scheme val="minor"/>
      </rPr>
      <t>*Note:</t>
    </r>
    <r>
      <rPr>
        <b/>
        <sz val="12"/>
        <color theme="1"/>
        <rFont val="Calibri"/>
        <family val="2"/>
        <scheme val="minor"/>
      </rPr>
      <t xml:space="preserve"> </t>
    </r>
    <r>
      <rPr>
        <sz val="12"/>
        <color theme="1"/>
        <rFont val="Calibri"/>
        <family val="2"/>
        <scheme val="minor"/>
      </rPr>
      <t xml:space="preserve">This is based from 1k Herb Boxes. </t>
    </r>
  </si>
  <si>
    <t>Cooking Calc</t>
  </si>
  <si>
    <t>Cooking</t>
  </si>
  <si>
    <t>Food</t>
  </si>
  <si>
    <t>SB = Stop burning</t>
  </si>
  <si>
    <t>SB Lvl</t>
  </si>
  <si>
    <t>SB W/ Gaunts</t>
  </si>
  <si>
    <t>Trout</t>
  </si>
  <si>
    <t>Salmon</t>
  </si>
  <si>
    <t>Tuna</t>
  </si>
  <si>
    <t>Karambwan</t>
  </si>
  <si>
    <t>Lobster</t>
  </si>
  <si>
    <t>Swordfish</t>
  </si>
  <si>
    <t>Monkfish</t>
  </si>
  <si>
    <t>Shark</t>
  </si>
  <si>
    <t>Sea Turtle</t>
  </si>
  <si>
    <t>Manat Ray</t>
  </si>
  <si>
    <t>Shrimp</t>
  </si>
  <si>
    <t>Raw Cost</t>
  </si>
  <si>
    <t>Cooked Cost</t>
  </si>
  <si>
    <t>Never</t>
  </si>
  <si>
    <t>Cooking Prices</t>
  </si>
  <si>
    <t>Cooking Guide 1-99</t>
  </si>
  <si>
    <t>1 to 15</t>
  </si>
  <si>
    <t>15 to 25</t>
  </si>
  <si>
    <t>25 to 40</t>
  </si>
  <si>
    <t>90 to 99</t>
  </si>
  <si>
    <t>40 to 90</t>
  </si>
  <si>
    <t>Fish</t>
  </si>
  <si>
    <r>
      <t xml:space="preserve">Note: </t>
    </r>
    <r>
      <rPr>
        <sz val="12"/>
        <rFont val="Calibri"/>
        <scheme val="minor"/>
      </rPr>
      <t>This assumes you don't burn any fish</t>
    </r>
  </si>
  <si>
    <t>Profit (w/ selling)</t>
  </si>
  <si>
    <t>Totals</t>
  </si>
  <si>
    <t>Profit (w/o Selling)</t>
  </si>
  <si>
    <t>Cheap Method</t>
  </si>
  <si>
    <t>Arrow Fletching</t>
  </si>
  <si>
    <t>Type</t>
  </si>
  <si>
    <t>Broad</t>
  </si>
  <si>
    <t>Adamant</t>
  </si>
  <si>
    <t>Tip Cost</t>
  </si>
  <si>
    <t>Headless Cost</t>
  </si>
  <si>
    <t>Arrow Price</t>
  </si>
  <si>
    <t>Arrow Prices</t>
  </si>
  <si>
    <t>Arrow</t>
  </si>
  <si>
    <t>Tip</t>
  </si>
  <si>
    <t>Headless</t>
  </si>
  <si>
    <t>Mithril</t>
  </si>
  <si>
    <t>Steel</t>
  </si>
  <si>
    <t>Super Heating</t>
  </si>
  <si>
    <t>Iron</t>
  </si>
  <si>
    <t>Runite</t>
  </si>
  <si>
    <t>Ore Cost</t>
  </si>
  <si>
    <t>Coal Cost</t>
  </si>
  <si>
    <t>Bar</t>
  </si>
  <si>
    <t>Cost/Bar</t>
  </si>
  <si>
    <t>Profit/bar</t>
  </si>
  <si>
    <t>Smithing</t>
  </si>
  <si>
    <t>Smithing Prices</t>
  </si>
  <si>
    <t>Coal</t>
  </si>
  <si>
    <t>Ore</t>
  </si>
  <si>
    <t>Bar Price</t>
  </si>
  <si>
    <t>Gold</t>
  </si>
  <si>
    <t>Gold (Gaunts)</t>
  </si>
  <si>
    <t>Miscellaneous Calculators</t>
  </si>
  <si>
    <t>These are some calculators that aren't big enough for their own page, but are still useful</t>
  </si>
  <si>
    <t>Construction</t>
  </si>
  <si>
    <t>Plank</t>
  </si>
  <si>
    <t>Cost</t>
  </si>
  <si>
    <t>Exp per</t>
  </si>
  <si>
    <t>Teak</t>
  </si>
  <si>
    <t>Mahogany</t>
  </si>
  <si>
    <t>Construction Prices</t>
  </si>
  <si>
    <t>Planks</t>
  </si>
  <si>
    <t>Other</t>
  </si>
  <si>
    <t>Gold Leaf</t>
  </si>
  <si>
    <t>Marble Block</t>
  </si>
  <si>
    <t>Magic Stone</t>
  </si>
  <si>
    <t>Norm+Nail</t>
  </si>
  <si>
    <t>Steel Nail</t>
  </si>
  <si>
    <t>Basic Calc</t>
  </si>
  <si>
    <t>Adjusted Calc</t>
  </si>
  <si>
    <t>I do not update the 4 dose prices often, if at any time, so be sure to update them yourself</t>
  </si>
  <si>
    <t>You can decent all your potions easily by using the decanter in Nardah, located in desert</t>
  </si>
  <si>
    <t>Time must include banking in order to give most accurate results</t>
  </si>
  <si>
    <t>This calculator add the cost of demon butler to the gp/exp of</t>
  </si>
  <si>
    <t>certain planks, assuming you use all planks given to you</t>
  </si>
  <si>
    <t>Adjusted Gp/Exp</t>
  </si>
  <si>
    <t>Cost(10 Runs)</t>
  </si>
  <si>
    <t>Cost/Run</t>
  </si>
  <si>
    <t>What butler are you using?</t>
  </si>
  <si>
    <t>Type either Demon, Butler, or Cook into field</t>
  </si>
  <si>
    <t>Demon</t>
  </si>
  <si>
    <t>Farming Calcs</t>
  </si>
  <si>
    <t>Trees</t>
  </si>
  <si>
    <t>Acorn</t>
  </si>
  <si>
    <t>Seed</t>
  </si>
  <si>
    <t>Protection</t>
  </si>
  <si>
    <t>Amount Needed</t>
  </si>
  <si>
    <t>Seed Cost</t>
  </si>
  <si>
    <t>Protect Item</t>
  </si>
  <si>
    <t>Protect Cost</t>
  </si>
  <si>
    <t>Tomatoe (5)</t>
  </si>
  <si>
    <t>Apple (5)</t>
  </si>
  <si>
    <t>Orange (5)</t>
  </si>
  <si>
    <r>
      <rPr>
        <sz val="9"/>
        <color theme="1"/>
        <rFont val="Calibri"/>
        <scheme val="minor"/>
      </rPr>
      <t>Cactus Spine</t>
    </r>
    <r>
      <rPr>
        <sz val="12"/>
        <color theme="1"/>
        <rFont val="Calibri"/>
        <family val="2"/>
        <scheme val="minor"/>
      </rPr>
      <t xml:space="preserve"> (10)</t>
    </r>
  </si>
  <si>
    <t>Coconut (25)</t>
  </si>
  <si>
    <t>Plant Exp</t>
  </si>
  <si>
    <t>Harvest Exp</t>
  </si>
  <si>
    <t>Total Exp</t>
  </si>
  <si>
    <t>Protection Calc</t>
  </si>
  <si>
    <t>This determines whether or not it is worth protecting your trees if you want to be gp efficient</t>
  </si>
  <si>
    <t>Death %</t>
  </si>
  <si>
    <t>Formula</t>
  </si>
  <si>
    <t>Protect?</t>
  </si>
  <si>
    <t>Yes</t>
  </si>
  <si>
    <t>Yes or No</t>
  </si>
  <si>
    <t>Gp/exp</t>
  </si>
  <si>
    <t>No</t>
  </si>
  <si>
    <t>Calquat</t>
  </si>
  <si>
    <r>
      <rPr>
        <sz val="10"/>
        <color theme="1"/>
        <rFont val="Calibri"/>
        <scheme val="minor"/>
      </rPr>
      <t>Pois Ivy Berry</t>
    </r>
    <r>
      <rPr>
        <sz val="12"/>
        <color theme="1"/>
        <rFont val="Calibri"/>
        <family val="2"/>
        <scheme val="minor"/>
      </rPr>
      <t xml:space="preserve"> (8)</t>
    </r>
  </si>
  <si>
    <r>
      <t>Note:</t>
    </r>
    <r>
      <rPr>
        <b/>
        <sz val="12"/>
        <rFont val="Calibri"/>
        <scheme val="minor"/>
      </rPr>
      <t xml:space="preserve"> When "No" is selected for protection, the calc assumes 1/8 trees will die</t>
    </r>
  </si>
  <si>
    <t>Level</t>
  </si>
  <si>
    <t>Farming prices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</si>
</sst>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;[Red]#,##0.00"/>
    <numFmt numFmtId="165" formatCode="#,##0;[Red]#,##0"/>
    <numFmt numFmtId="166" formatCode="#,##0.000;[Red]#,##0.000"/>
    <numFmt numFmtId="167" formatCode="0.00;[Red]0.00"/>
    <numFmt numFmtId="168" formatCode="0;[Red]0"/>
    <numFmt numFmtId="169" formatCode="#,##0.0;[Red]#,##0.0"/>
  </numFmts>
  <fonts count="2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name val="Calibri"/>
      <scheme val="minor"/>
    </font>
    <font>
      <sz val="12"/>
      <name val="Calibri"/>
      <scheme val="minor"/>
    </font>
    <font>
      <b/>
      <sz val="20"/>
      <color theme="3" tint="-0.249977111117893"/>
      <name val="Calibri"/>
      <scheme val="minor"/>
    </font>
    <font>
      <b/>
      <sz val="12"/>
      <color theme="5"/>
      <name val="Calibri"/>
      <scheme val="minor"/>
    </font>
    <font>
      <b/>
      <sz val="12"/>
      <color theme="3"/>
      <name val="Calibri"/>
      <scheme val="minor"/>
    </font>
    <font>
      <b/>
      <sz val="12"/>
      <color rgb="FF000000"/>
      <name val="Calibri"/>
      <scheme val="minor"/>
    </font>
    <font>
      <sz val="12"/>
      <color indexed="8"/>
      <name val="Calibri"/>
      <family val="2"/>
    </font>
    <font>
      <b/>
      <sz val="20"/>
      <color theme="3"/>
      <name val="Calibri"/>
      <scheme val="minor"/>
    </font>
    <font>
      <b/>
      <sz val="12"/>
      <color rgb="FF1F497D"/>
      <name val="Calibri"/>
      <scheme val="minor"/>
    </font>
    <font>
      <b/>
      <sz val="12"/>
      <color rgb="FFC0504D"/>
      <name val="Calibri"/>
      <scheme val="minor"/>
    </font>
    <font>
      <b/>
      <sz val="20"/>
      <color rgb="FF1F497D"/>
      <name val="Calibri"/>
      <scheme val="minor"/>
    </font>
    <font>
      <sz val="12"/>
      <color rgb="FF000000"/>
      <name val="Calibri"/>
      <family val="2"/>
      <scheme val="minor"/>
    </font>
    <font>
      <b/>
      <sz val="10"/>
      <color rgb="FF000000"/>
      <name val="Calibri"/>
      <scheme val="minor"/>
    </font>
    <font>
      <b/>
      <sz val="14"/>
      <color theme="1"/>
      <name val="Calibri"/>
      <scheme val="minor"/>
    </font>
    <font>
      <sz val="12"/>
      <color theme="6" tint="-0.499984740745262"/>
      <name val="Calibri"/>
      <scheme val="minor"/>
    </font>
    <font>
      <sz val="12"/>
      <color theme="3"/>
      <name val="Calibri"/>
      <scheme val="minor"/>
    </font>
    <font>
      <b/>
      <sz val="12"/>
      <color theme="6" tint="-0.499984740745262"/>
      <name val="Calibri"/>
      <scheme val="minor"/>
    </font>
    <font>
      <b/>
      <sz val="12"/>
      <color theme="5" tint="-0.499984740745262"/>
      <name val="Calibri"/>
      <scheme val="minor"/>
    </font>
    <font>
      <b/>
      <sz val="12"/>
      <color theme="7"/>
      <name val="Calibri"/>
      <scheme val="minor"/>
    </font>
    <font>
      <sz val="10"/>
      <color theme="1"/>
      <name val="Calibri"/>
      <scheme val="minor"/>
    </font>
    <font>
      <sz val="9"/>
      <color theme="1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39997558519241921"/>
        <bgColor indexed="64"/>
      </patternFill>
    </fill>
  </fills>
  <borders count="1">
    <border>
      <left/>
      <right/>
      <top/>
      <bottom/>
      <diagonal/>
    </border>
  </borders>
  <cellStyleXfs count="316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57">
    <xf numFmtId="0" fontId="0" fillId="0" borderId="0" xfId="0"/>
    <xf numFmtId="0" fontId="1" fillId="0" borderId="0" xfId="0" applyFont="1"/>
    <xf numFmtId="164" fontId="0" fillId="0" borderId="0" xfId="0" applyNumberFormat="1"/>
    <xf numFmtId="165" fontId="0" fillId="0" borderId="0" xfId="0" applyNumberFormat="1"/>
    <xf numFmtId="0" fontId="4" fillId="0" borderId="0" xfId="0" applyFont="1"/>
    <xf numFmtId="166" fontId="0" fillId="0" borderId="0" xfId="0" applyNumberFormat="1"/>
    <xf numFmtId="3" fontId="0" fillId="0" borderId="0" xfId="0" applyNumberFormat="1"/>
    <xf numFmtId="167" fontId="0" fillId="0" borderId="0" xfId="0" applyNumberFormat="1"/>
    <xf numFmtId="0" fontId="6" fillId="0" borderId="0" xfId="0" applyFont="1"/>
    <xf numFmtId="165" fontId="1" fillId="0" borderId="0" xfId="0" applyNumberFormat="1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49"/>
    <xf numFmtId="168" fontId="0" fillId="0" borderId="0" xfId="0" applyNumberFormat="1"/>
    <xf numFmtId="0" fontId="10" fillId="0" borderId="0" xfId="49" applyFill="1"/>
    <xf numFmtId="166" fontId="1" fillId="0" borderId="0" xfId="0" applyNumberFormat="1" applyFont="1"/>
    <xf numFmtId="0" fontId="11" fillId="0" borderId="0" xfId="0" applyFont="1"/>
    <xf numFmtId="0" fontId="12" fillId="0" borderId="0" xfId="0" applyFont="1"/>
    <xf numFmtId="0" fontId="13" fillId="0" borderId="0" xfId="0" applyFont="1"/>
    <xf numFmtId="0" fontId="11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0" fillId="0" borderId="0" xfId="0" applyFill="1"/>
    <xf numFmtId="0" fontId="0" fillId="2" borderId="0" xfId="0" applyFill="1"/>
    <xf numFmtId="0" fontId="1" fillId="2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11" fillId="0" borderId="0" xfId="0" applyFont="1" applyFill="1"/>
    <xf numFmtId="0" fontId="7" fillId="0" borderId="0" xfId="0" applyFont="1" applyFill="1"/>
    <xf numFmtId="0" fontId="1" fillId="0" borderId="0" xfId="0" applyFont="1" applyFill="1"/>
    <xf numFmtId="3" fontId="0" fillId="0" borderId="0" xfId="0" applyNumberFormat="1" applyFill="1"/>
    <xf numFmtId="164" fontId="0" fillId="0" borderId="0" xfId="0" applyNumberFormat="1" applyFill="1"/>
    <xf numFmtId="165" fontId="0" fillId="0" borderId="0" xfId="0" applyNumberFormat="1" applyFill="1"/>
    <xf numFmtId="16" fontId="1" fillId="0" borderId="0" xfId="0" applyNumberFormat="1" applyFont="1" applyFill="1"/>
    <xf numFmtId="0" fontId="8" fillId="0" borderId="0" xfId="0" applyFont="1" applyFill="1"/>
    <xf numFmtId="165" fontId="1" fillId="0" borderId="0" xfId="0" applyNumberFormat="1" applyFont="1" applyFill="1"/>
    <xf numFmtId="169" fontId="0" fillId="0" borderId="0" xfId="0" applyNumberFormat="1" applyFill="1"/>
    <xf numFmtId="0" fontId="5" fillId="0" borderId="0" xfId="0" applyFont="1"/>
    <xf numFmtId="3" fontId="1" fillId="3" borderId="0" xfId="0" applyNumberFormat="1" applyFont="1" applyFill="1"/>
    <xf numFmtId="0" fontId="0" fillId="2" borderId="0" xfId="0" applyFont="1" applyFill="1"/>
    <xf numFmtId="165" fontId="0" fillId="2" borderId="0" xfId="0" applyNumberFormat="1" applyFill="1"/>
    <xf numFmtId="0" fontId="0" fillId="0" borderId="0" xfId="0" applyAlignment="1">
      <alignment horizontal="right"/>
    </xf>
    <xf numFmtId="4" fontId="0" fillId="0" borderId="0" xfId="0" applyNumberFormat="1"/>
    <xf numFmtId="16" fontId="0" fillId="0" borderId="0" xfId="0" applyNumberFormat="1"/>
    <xf numFmtId="0" fontId="0" fillId="0" borderId="0" xfId="0" applyNumberFormat="1"/>
    <xf numFmtId="0" fontId="14" fillId="0" borderId="0" xfId="0" applyFont="1"/>
    <xf numFmtId="0" fontId="15" fillId="0" borderId="0" xfId="0" applyFont="1"/>
    <xf numFmtId="4" fontId="15" fillId="0" borderId="0" xfId="0" applyNumberFormat="1" applyFont="1"/>
    <xf numFmtId="0" fontId="1" fillId="4" borderId="0" xfId="0" applyFont="1" applyFill="1" applyAlignment="1">
      <alignment horizontal="center"/>
    </xf>
    <xf numFmtId="0" fontId="16" fillId="0" borderId="0" xfId="0" applyFont="1"/>
    <xf numFmtId="0" fontId="17" fillId="5" borderId="0" xfId="0" applyFont="1" applyFill="1" applyAlignment="1">
      <alignment horizontal="center"/>
    </xf>
    <xf numFmtId="0" fontId="18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/>
    <xf numFmtId="10" fontId="0" fillId="0" borderId="0" xfId="0" applyNumberFormat="1"/>
    <xf numFmtId="0" fontId="1" fillId="0" borderId="0" xfId="0" applyFont="1" applyAlignment="1">
      <alignment horizontal="center"/>
    </xf>
  </cellXfs>
  <cellStyles count="316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Followed Hyperlink" xfId="255" builtinId="9" hidden="1"/>
    <cellStyle name="Followed Hyperlink" xfId="257" builtinId="9" hidden="1"/>
    <cellStyle name="Followed Hyperlink" xfId="259" builtinId="9" hidden="1"/>
    <cellStyle name="Followed Hyperlink" xfId="261" builtinId="9" hidden="1"/>
    <cellStyle name="Followed Hyperlink" xfId="263" builtinId="9" hidden="1"/>
    <cellStyle name="Followed Hyperlink" xfId="265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Followed Hyperlink" xfId="277" builtinId="9" hidden="1"/>
    <cellStyle name="Followed Hyperlink" xfId="279" builtinId="9" hidden="1"/>
    <cellStyle name="Followed Hyperlink" xfId="281" builtinId="9" hidden="1"/>
    <cellStyle name="Followed Hyperlink" xfId="283" builtinId="9" hidden="1"/>
    <cellStyle name="Followed Hyperlink" xfId="285" builtinId="9" hidden="1"/>
    <cellStyle name="Followed Hyperlink" xfId="287" builtinId="9" hidden="1"/>
    <cellStyle name="Followed Hyperlink" xfId="289" builtinId="9" hidden="1"/>
    <cellStyle name="Followed Hyperlink" xfId="291" builtinId="9" hidden="1"/>
    <cellStyle name="Followed Hyperlink" xfId="293" builtinId="9" hidden="1"/>
    <cellStyle name="Followed Hyperlink" xfId="295" builtinId="9" hidden="1"/>
    <cellStyle name="Followed Hyperlink" xfId="297" builtinId="9" hidden="1"/>
    <cellStyle name="Followed Hyperlink" xfId="299" builtinId="9" hidden="1"/>
    <cellStyle name="Followed Hyperlink" xfId="301" builtinId="9" hidden="1"/>
    <cellStyle name="Followed Hyperlink" xfId="303" builtinId="9" hidden="1"/>
    <cellStyle name="Followed Hyperlink" xfId="305" builtinId="9" hidden="1"/>
    <cellStyle name="Followed Hyperlink" xfId="307" builtinId="9" hidden="1"/>
    <cellStyle name="Followed Hyperlink" xfId="309" builtinId="9" hidden="1"/>
    <cellStyle name="Followed Hyperlink" xfId="311" builtinId="9" hidden="1"/>
    <cellStyle name="Followed Hyperlink" xfId="313" builtinId="9" hidden="1"/>
    <cellStyle name="Followed Hyperlink" xfId="315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" xfId="254" builtinId="8" hidden="1"/>
    <cellStyle name="Hyperlink" xfId="256" builtinId="8" hidden="1"/>
    <cellStyle name="Hyperlink" xfId="258" builtinId="8" hidden="1"/>
    <cellStyle name="Hyperlink" xfId="260" builtinId="8" hidden="1"/>
    <cellStyle name="Hyperlink" xfId="262" builtinId="8" hidden="1"/>
    <cellStyle name="Hyperlink" xfId="264" builtinId="8" hidden="1"/>
    <cellStyle name="Hyperlink" xfId="266" builtinId="8" hidden="1"/>
    <cellStyle name="Hyperlink" xfId="268" builtinId="8" hidden="1"/>
    <cellStyle name="Hyperlink" xfId="270" builtinId="8" hidden="1"/>
    <cellStyle name="Hyperlink" xfId="272" builtinId="8" hidden="1"/>
    <cellStyle name="Hyperlink" xfId="274" builtinId="8" hidden="1"/>
    <cellStyle name="Hyperlink" xfId="276" builtinId="8" hidden="1"/>
    <cellStyle name="Hyperlink" xfId="278" builtinId="8" hidden="1"/>
    <cellStyle name="Hyperlink" xfId="280" builtinId="8" hidden="1"/>
    <cellStyle name="Hyperlink" xfId="282" builtinId="8" hidden="1"/>
    <cellStyle name="Hyperlink" xfId="284" builtinId="8" hidden="1"/>
    <cellStyle name="Hyperlink" xfId="286" builtinId="8" hidden="1"/>
    <cellStyle name="Hyperlink" xfId="288" builtinId="8" hidden="1"/>
    <cellStyle name="Hyperlink" xfId="290" builtinId="8" hidden="1"/>
    <cellStyle name="Hyperlink" xfId="292" builtinId="8" hidden="1"/>
    <cellStyle name="Hyperlink" xfId="294" builtinId="8" hidden="1"/>
    <cellStyle name="Hyperlink" xfId="296" builtinId="8" hidden="1"/>
    <cellStyle name="Hyperlink" xfId="298" builtinId="8" hidden="1"/>
    <cellStyle name="Hyperlink" xfId="300" builtinId="8" hidden="1"/>
    <cellStyle name="Hyperlink" xfId="302" builtinId="8" hidden="1"/>
    <cellStyle name="Hyperlink" xfId="304" builtinId="8" hidden="1"/>
    <cellStyle name="Hyperlink" xfId="306" builtinId="8" hidden="1"/>
    <cellStyle name="Hyperlink" xfId="308" builtinId="8" hidden="1"/>
    <cellStyle name="Hyperlink" xfId="310" builtinId="8" hidden="1"/>
    <cellStyle name="Hyperlink" xfId="312" builtinId="8" hidden="1"/>
    <cellStyle name="Hyperlink" xfId="314" builtinId="8" hidden="1"/>
    <cellStyle name="Normal" xfId="0" builtinId="0"/>
    <cellStyle name="Normal_Database" xfId="49"/>
  </cellStyles>
  <dxfs count="47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6"/>
      </font>
      <fill>
        <patternFill patternType="solid">
          <fgColor indexed="64"/>
          <bgColor theme="6"/>
        </patternFill>
      </fill>
    </dxf>
    <dxf>
      <font>
        <color theme="5"/>
      </font>
      <fill>
        <patternFill patternType="solid">
          <fgColor indexed="64"/>
          <bgColor theme="5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worksheet" Target="worksheets/sheet11.xml"/><Relationship Id="rId12" Type="http://schemas.openxmlformats.org/officeDocument/2006/relationships/theme" Target="theme/theme1.xml"/><Relationship Id="rId13" Type="http://schemas.openxmlformats.org/officeDocument/2006/relationships/styles" Target="styles.xml"/><Relationship Id="rId14" Type="http://schemas.openxmlformats.org/officeDocument/2006/relationships/sharedStrings" Target="sharedStrings.xml"/><Relationship Id="rId1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tabSelected="1" workbookViewId="0">
      <selection activeCell="E70" sqref="E70"/>
    </sheetView>
  </sheetViews>
  <sheetFormatPr baseColWidth="10" defaultRowHeight="15" x14ac:dyDescent="0"/>
  <cols>
    <col min="1" max="1" width="17" customWidth="1"/>
    <col min="2" max="2" width="13.33203125" bestFit="1" customWidth="1"/>
    <col min="3" max="3" width="11.83203125" bestFit="1" customWidth="1"/>
    <col min="4" max="4" width="16.33203125" bestFit="1" customWidth="1"/>
    <col min="5" max="5" width="15.83203125" bestFit="1" customWidth="1"/>
    <col min="6" max="6" width="17.6640625" bestFit="1" customWidth="1"/>
    <col min="7" max="9" width="14.1640625" bestFit="1" customWidth="1"/>
  </cols>
  <sheetData>
    <row r="1" spans="1:9" ht="25">
      <c r="F1" s="20" t="s">
        <v>19</v>
      </c>
    </row>
    <row r="2" spans="1:9">
      <c r="F2" s="21" t="s">
        <v>221</v>
      </c>
    </row>
    <row r="3" spans="1:9" ht="25">
      <c r="A3" s="17" t="s">
        <v>222</v>
      </c>
    </row>
    <row r="5" spans="1:9">
      <c r="A5" s="10" t="s">
        <v>20</v>
      </c>
    </row>
    <row r="6" spans="1:9">
      <c r="C6" s="1" t="s">
        <v>160</v>
      </c>
      <c r="D6" s="38">
        <v>25000</v>
      </c>
      <c r="E6" s="2"/>
      <c r="F6" s="1"/>
      <c r="G6" s="1" t="s">
        <v>152</v>
      </c>
      <c r="H6" s="1" t="s">
        <v>153</v>
      </c>
      <c r="I6" s="1"/>
    </row>
    <row r="8" spans="1:9">
      <c r="A8" s="1" t="s">
        <v>0</v>
      </c>
      <c r="B8" s="1" t="s">
        <v>17</v>
      </c>
      <c r="C8" s="1" t="s">
        <v>16</v>
      </c>
      <c r="D8" s="1" t="s">
        <v>18</v>
      </c>
      <c r="E8" s="1" t="s">
        <v>77</v>
      </c>
      <c r="F8" s="1" t="s">
        <v>66</v>
      </c>
      <c r="G8" s="1" t="s">
        <v>156</v>
      </c>
      <c r="H8" s="1" t="s">
        <v>155</v>
      </c>
      <c r="I8" s="1" t="s">
        <v>154</v>
      </c>
    </row>
    <row r="10" spans="1:9">
      <c r="A10" s="1" t="s">
        <v>1</v>
      </c>
      <c r="B10" s="3">
        <v>175</v>
      </c>
      <c r="C10" s="3">
        <f>Database!B29</f>
        <v>100</v>
      </c>
      <c r="D10" s="5">
        <f>C10/B10</f>
        <v>0.5714285714285714</v>
      </c>
      <c r="E10" s="3">
        <f>Database!F9</f>
        <v>12100</v>
      </c>
      <c r="F10" s="3">
        <f>(23*E10)+D6</f>
        <v>303300</v>
      </c>
      <c r="G10" s="3">
        <f>(500000*D10)-F10</f>
        <v>-17585.714285714319</v>
      </c>
      <c r="H10" s="3">
        <f>(I10*D10)-F10</f>
        <v>39557.142857142841</v>
      </c>
      <c r="I10" s="23">
        <v>600000</v>
      </c>
    </row>
    <row r="11" spans="1:9">
      <c r="A11" s="1" t="s">
        <v>2</v>
      </c>
      <c r="B11" s="3">
        <v>300</v>
      </c>
      <c r="C11" s="3">
        <f>Database!B27</f>
        <v>175</v>
      </c>
      <c r="D11" s="5">
        <f t="shared" ref="D11:D25" si="0">C11/B11</f>
        <v>0.58333333333333337</v>
      </c>
      <c r="E11" s="3">
        <f>Database!F9</f>
        <v>12100</v>
      </c>
      <c r="F11" s="3">
        <f>(23*E10)+D6</f>
        <v>303300</v>
      </c>
      <c r="G11" s="3">
        <f t="shared" ref="G11:G25" si="1">(500000*D11)-F11</f>
        <v>-11633.333333333314</v>
      </c>
      <c r="H11" s="3">
        <f>(I10*D11)-F11</f>
        <v>46700</v>
      </c>
    </row>
    <row r="12" spans="1:9">
      <c r="A12" s="1" t="s">
        <v>3</v>
      </c>
      <c r="B12" s="3">
        <v>75</v>
      </c>
      <c r="C12" s="3">
        <f>Database!E27</f>
        <v>40</v>
      </c>
      <c r="D12" s="5">
        <f t="shared" si="0"/>
        <v>0.53333333333333333</v>
      </c>
      <c r="E12" s="3">
        <f>Database!F9</f>
        <v>12100</v>
      </c>
      <c r="F12" s="3">
        <f>(23*E10)+D6</f>
        <v>303300</v>
      </c>
      <c r="G12" s="3">
        <f t="shared" si="1"/>
        <v>-36633.333333333314</v>
      </c>
      <c r="H12" s="3">
        <f>(I10*D12)-F12</f>
        <v>16700</v>
      </c>
    </row>
    <row r="13" spans="1:9">
      <c r="A13" s="1" t="s">
        <v>4</v>
      </c>
      <c r="B13" s="3">
        <v>200</v>
      </c>
      <c r="C13" s="3">
        <f>Database!E28</f>
        <v>125</v>
      </c>
      <c r="D13" s="5">
        <f t="shared" si="0"/>
        <v>0.625</v>
      </c>
      <c r="E13" s="3">
        <f>Database!F9</f>
        <v>12100</v>
      </c>
      <c r="F13" s="3">
        <f>(23*E10)+D6</f>
        <v>303300</v>
      </c>
      <c r="G13" s="3">
        <f t="shared" si="1"/>
        <v>9200</v>
      </c>
      <c r="H13" s="3">
        <f>(I10*D13)-F13</f>
        <v>71700</v>
      </c>
    </row>
    <row r="14" spans="1:9">
      <c r="A14" s="1" t="s">
        <v>5</v>
      </c>
      <c r="B14" s="3">
        <v>1250</v>
      </c>
      <c r="C14" s="3">
        <f>Database!B36</f>
        <v>650</v>
      </c>
      <c r="D14" s="5">
        <f t="shared" si="0"/>
        <v>0.52</v>
      </c>
      <c r="E14" s="3">
        <f>Database!F9</f>
        <v>12100</v>
      </c>
      <c r="F14" s="3">
        <f>(23*E10)+D6</f>
        <v>303300</v>
      </c>
      <c r="G14" s="3">
        <f t="shared" si="1"/>
        <v>-43300</v>
      </c>
      <c r="H14" s="3">
        <f>(I10*D14)-F14</f>
        <v>8700</v>
      </c>
    </row>
    <row r="15" spans="1:9">
      <c r="A15" s="1" t="s">
        <v>147</v>
      </c>
      <c r="B15" s="3">
        <v>200</v>
      </c>
      <c r="C15" s="3">
        <f>Database!E29</f>
        <v>140</v>
      </c>
      <c r="D15" s="5">
        <f t="shared" si="0"/>
        <v>0.7</v>
      </c>
      <c r="E15" s="3">
        <f>Database!F9</f>
        <v>12100</v>
      </c>
      <c r="F15" s="3">
        <f>(23*E10)+D6</f>
        <v>303300</v>
      </c>
      <c r="G15" s="3">
        <f t="shared" si="1"/>
        <v>46700</v>
      </c>
      <c r="H15" s="3">
        <f>(I10*D15)-F15</f>
        <v>116700</v>
      </c>
    </row>
    <row r="16" spans="1:9">
      <c r="A16" s="1" t="s">
        <v>6</v>
      </c>
      <c r="B16" s="3">
        <v>750</v>
      </c>
      <c r="C16" s="3">
        <v>475</v>
      </c>
      <c r="D16" s="5">
        <f t="shared" si="0"/>
        <v>0.6333333333333333</v>
      </c>
      <c r="E16" s="3">
        <f>Database!F9</f>
        <v>12100</v>
      </c>
      <c r="F16" s="3">
        <f>(23*E10)+D6</f>
        <v>303300</v>
      </c>
      <c r="G16" s="3">
        <f t="shared" si="1"/>
        <v>13366.666666666628</v>
      </c>
      <c r="H16" s="3">
        <f>(I10*D16)-F16</f>
        <v>76700</v>
      </c>
    </row>
    <row r="17" spans="1:8">
      <c r="A17" s="1" t="s">
        <v>146</v>
      </c>
      <c r="B17" s="3">
        <v>5000</v>
      </c>
      <c r="C17" s="3">
        <v>0</v>
      </c>
      <c r="D17" s="5">
        <f t="shared" si="0"/>
        <v>0</v>
      </c>
      <c r="E17" s="3">
        <f>Database!F9</f>
        <v>12100</v>
      </c>
      <c r="F17" s="3">
        <f>(23*E10)+D6</f>
        <v>303300</v>
      </c>
      <c r="G17" s="3">
        <f t="shared" si="1"/>
        <v>-303300</v>
      </c>
      <c r="H17" s="3">
        <f>(I10*D17)-F17</f>
        <v>-303300</v>
      </c>
    </row>
    <row r="18" spans="1:8">
      <c r="A18" s="1" t="s">
        <v>8</v>
      </c>
      <c r="B18" s="3">
        <v>25</v>
      </c>
      <c r="C18" s="3">
        <f>Database!E31</f>
        <v>11</v>
      </c>
      <c r="D18" s="5">
        <f t="shared" si="0"/>
        <v>0.44</v>
      </c>
      <c r="E18" s="3">
        <f>Database!F9</f>
        <v>12100</v>
      </c>
      <c r="F18" s="3">
        <f>(23*E10)+D6</f>
        <v>303300</v>
      </c>
      <c r="G18" s="3">
        <f t="shared" si="1"/>
        <v>-83300</v>
      </c>
      <c r="H18" s="3">
        <f>(I10*D18)-F18</f>
        <v>-39300</v>
      </c>
    </row>
    <row r="19" spans="1:8">
      <c r="A19" s="1" t="s">
        <v>9</v>
      </c>
      <c r="B19" s="3">
        <v>25</v>
      </c>
      <c r="C19" s="3">
        <f>Database!E32</f>
        <v>11</v>
      </c>
      <c r="D19" s="5">
        <f t="shared" si="0"/>
        <v>0.44</v>
      </c>
      <c r="E19" s="3">
        <f>Database!F9</f>
        <v>12100</v>
      </c>
      <c r="F19" s="3">
        <f>(23*E10)+D6</f>
        <v>303300</v>
      </c>
      <c r="G19" s="3">
        <f t="shared" si="1"/>
        <v>-83300</v>
      </c>
      <c r="H19" s="3">
        <f>(I10*D19)-F19</f>
        <v>-39300</v>
      </c>
    </row>
    <row r="20" spans="1:8">
      <c r="A20" s="1" t="s">
        <v>10</v>
      </c>
      <c r="B20" s="3">
        <v>25</v>
      </c>
      <c r="C20" s="3">
        <f>Database!E33</f>
        <v>14</v>
      </c>
      <c r="D20" s="5">
        <f t="shared" si="0"/>
        <v>0.56000000000000005</v>
      </c>
      <c r="E20" s="3">
        <f>Database!F9</f>
        <v>12100</v>
      </c>
      <c r="F20" s="3">
        <f>(23*E10)+D6</f>
        <v>303300</v>
      </c>
      <c r="G20" s="3">
        <f t="shared" si="1"/>
        <v>-23300</v>
      </c>
      <c r="H20" s="3">
        <f>(I10*D20)-F20</f>
        <v>32700.000000000058</v>
      </c>
    </row>
    <row r="21" spans="1:8">
      <c r="A21" s="1" t="s">
        <v>11</v>
      </c>
      <c r="B21" s="3">
        <v>25</v>
      </c>
      <c r="C21" s="3">
        <f>Database!E34</f>
        <v>4</v>
      </c>
      <c r="D21" s="5">
        <f t="shared" si="0"/>
        <v>0.16</v>
      </c>
      <c r="E21" s="3">
        <f>Database!F9</f>
        <v>12100</v>
      </c>
      <c r="F21" s="3">
        <f>(23*E10)+D6</f>
        <v>303300</v>
      </c>
      <c r="G21" s="3">
        <f t="shared" si="1"/>
        <v>-223300</v>
      </c>
      <c r="H21" s="3">
        <f>(I10*D21)-F21</f>
        <v>-207300</v>
      </c>
    </row>
    <row r="22" spans="1:8">
      <c r="A22" s="1" t="s">
        <v>145</v>
      </c>
      <c r="B22" s="3">
        <v>60</v>
      </c>
      <c r="C22" s="3">
        <f>Database!E35</f>
        <v>33</v>
      </c>
      <c r="D22" s="5">
        <f t="shared" si="0"/>
        <v>0.55000000000000004</v>
      </c>
      <c r="E22" s="3">
        <f>Database!F9</f>
        <v>12100</v>
      </c>
      <c r="F22" s="3">
        <f>(23*E10)+D6</f>
        <v>303300</v>
      </c>
      <c r="G22" s="3">
        <f t="shared" si="1"/>
        <v>-28300</v>
      </c>
      <c r="H22" s="3">
        <f>(I10*D22)-F22</f>
        <v>26700</v>
      </c>
    </row>
    <row r="23" spans="1:8">
      <c r="A23" s="1" t="s">
        <v>13</v>
      </c>
      <c r="B23" s="3">
        <v>70</v>
      </c>
      <c r="C23" s="3">
        <f>Database!E36</f>
        <v>31</v>
      </c>
      <c r="D23" s="5">
        <f t="shared" si="0"/>
        <v>0.44285714285714284</v>
      </c>
      <c r="E23" s="3">
        <f>Database!F9</f>
        <v>12100</v>
      </c>
      <c r="F23" s="3">
        <f>(23*E10)+D6</f>
        <v>303300</v>
      </c>
      <c r="G23" s="3">
        <f t="shared" si="1"/>
        <v>-81871.42857142858</v>
      </c>
      <c r="H23" s="3">
        <f>(I10*D23)-F23</f>
        <v>-37585.714285714319</v>
      </c>
    </row>
    <row r="24" spans="1:8">
      <c r="A24" s="1" t="s">
        <v>14</v>
      </c>
      <c r="B24" s="3">
        <v>145</v>
      </c>
      <c r="C24" s="3">
        <f>Database!B20</f>
        <v>8</v>
      </c>
      <c r="D24" s="5">
        <f t="shared" si="0"/>
        <v>5.5172413793103448E-2</v>
      </c>
      <c r="E24" s="3">
        <f>Database!F9</f>
        <v>12100</v>
      </c>
      <c r="F24" s="3">
        <f>(23*E10)+D6</f>
        <v>303300</v>
      </c>
      <c r="G24" s="3">
        <f t="shared" si="1"/>
        <v>-275713.79310344829</v>
      </c>
      <c r="H24" s="3">
        <f>(8*D24)-F24</f>
        <v>-303299.55862068967</v>
      </c>
    </row>
    <row r="25" spans="1:8">
      <c r="A25" s="1" t="s">
        <v>144</v>
      </c>
      <c r="B25" s="3">
        <v>9500</v>
      </c>
      <c r="C25" s="3">
        <f>D64</f>
        <v>11748.174999999999</v>
      </c>
      <c r="D25" s="5">
        <f t="shared" si="0"/>
        <v>1.23665</v>
      </c>
      <c r="E25" s="3">
        <f>Database!F9</f>
        <v>12100</v>
      </c>
      <c r="F25" s="3">
        <f>(23*E10)+D6</f>
        <v>303300</v>
      </c>
      <c r="G25" s="3">
        <f t="shared" si="1"/>
        <v>315025</v>
      </c>
      <c r="H25" s="3">
        <f>(I10*D25)-F25</f>
        <v>438690</v>
      </c>
    </row>
    <row r="26" spans="1:8">
      <c r="H26" s="3"/>
    </row>
    <row r="27" spans="1:8">
      <c r="A27" s="1" t="s">
        <v>224</v>
      </c>
      <c r="B27" s="3"/>
      <c r="D27" s="16">
        <f>AVERAGE(D10+D11+D12+D13+D14+D16+D18+D19+D20+D21+D23+D24)/11</f>
        <v>0.50585982982534716</v>
      </c>
      <c r="E27" s="3"/>
      <c r="F27" s="3"/>
      <c r="G27" s="9">
        <f>AVERAGE(G10+G11+G12+G13+G14+G16+G18+G19+G20+G21+G23+G24)/11</f>
        <v>-77942.812360053751</v>
      </c>
      <c r="H27" s="9">
        <f>AVERAGE(H10+H11+H12+H13+H14+H16+H18+H19+H20+H21+H23+H24)/11</f>
        <v>-30366.193640841917</v>
      </c>
    </row>
    <row r="29" spans="1:8">
      <c r="A29" s="1"/>
      <c r="B29" s="1" t="s">
        <v>148</v>
      </c>
      <c r="C29" s="1" t="s">
        <v>223</v>
      </c>
    </row>
    <row r="30" spans="1:8">
      <c r="A30" s="1" t="s">
        <v>78</v>
      </c>
      <c r="B30" s="3">
        <v>1500</v>
      </c>
      <c r="C30" s="2">
        <f>(H27/I10)*B30</f>
        <v>-75.915484102104799</v>
      </c>
    </row>
    <row r="32" spans="1:8">
      <c r="A32" t="s">
        <v>149</v>
      </c>
    </row>
    <row r="33" spans="1:4">
      <c r="A33" s="4" t="s">
        <v>150</v>
      </c>
    </row>
    <row r="34" spans="1:4">
      <c r="A34" s="10" t="s">
        <v>157</v>
      </c>
    </row>
    <row r="36" spans="1:4">
      <c r="A36" s="10" t="s">
        <v>151</v>
      </c>
    </row>
    <row r="37" spans="1:4">
      <c r="A37" t="s">
        <v>162</v>
      </c>
    </row>
    <row r="38" spans="1:4">
      <c r="A38" t="s">
        <v>158</v>
      </c>
    </row>
    <row r="39" spans="1:4">
      <c r="A39" t="s">
        <v>159</v>
      </c>
    </row>
    <row r="40" spans="1:4">
      <c r="A40" t="s">
        <v>161</v>
      </c>
    </row>
    <row r="41" spans="1:4">
      <c r="A41" t="s">
        <v>163</v>
      </c>
    </row>
    <row r="43" spans="1:4">
      <c r="A43" s="1" t="s">
        <v>90</v>
      </c>
      <c r="B43" s="11" t="s">
        <v>234</v>
      </c>
    </row>
    <row r="45" spans="1:4">
      <c r="A45" s="1" t="s">
        <v>29</v>
      </c>
      <c r="B45" s="1" t="s">
        <v>44</v>
      </c>
      <c r="C45" s="1" t="s">
        <v>79</v>
      </c>
      <c r="D45" s="1" t="s">
        <v>80</v>
      </c>
    </row>
    <row r="47" spans="1:4">
      <c r="A47" s="1" t="s">
        <v>81</v>
      </c>
      <c r="B47">
        <v>2552</v>
      </c>
      <c r="C47" s="6">
        <f>Database!B5</f>
        <v>300</v>
      </c>
      <c r="D47" s="6">
        <f>B47*C47</f>
        <v>765600</v>
      </c>
    </row>
    <row r="48" spans="1:4">
      <c r="A48" s="1" t="s">
        <v>82</v>
      </c>
      <c r="B48">
        <v>1914</v>
      </c>
      <c r="C48" s="6">
        <f>Database!B6</f>
        <v>80</v>
      </c>
      <c r="D48" s="6">
        <f t="shared" ref="D48:D60" si="2">B48*C48</f>
        <v>153120</v>
      </c>
    </row>
    <row r="49" spans="1:5">
      <c r="A49" s="1" t="s">
        <v>83</v>
      </c>
      <c r="B49">
        <v>1392</v>
      </c>
      <c r="C49" s="6">
        <f>Database!B7</f>
        <v>90</v>
      </c>
      <c r="D49" s="6">
        <f t="shared" si="2"/>
        <v>125280</v>
      </c>
      <c r="E49" s="40"/>
    </row>
    <row r="50" spans="1:5">
      <c r="A50" s="1" t="s">
        <v>84</v>
      </c>
      <c r="B50">
        <v>1084</v>
      </c>
      <c r="C50" s="6">
        <f>Database!B8</f>
        <v>950</v>
      </c>
      <c r="D50" s="6">
        <f t="shared" si="2"/>
        <v>1029800</v>
      </c>
    </row>
    <row r="51" spans="1:5">
      <c r="A51" s="1" t="s">
        <v>36</v>
      </c>
      <c r="B51">
        <v>880</v>
      </c>
      <c r="C51" s="6">
        <f>Database!B9</f>
        <v>7900</v>
      </c>
      <c r="D51" s="6">
        <f t="shared" si="2"/>
        <v>6952000</v>
      </c>
    </row>
    <row r="52" spans="1:5">
      <c r="A52" s="1" t="s">
        <v>85</v>
      </c>
      <c r="B52">
        <v>0</v>
      </c>
      <c r="C52" s="6">
        <f>Database!B10</f>
        <v>2000</v>
      </c>
      <c r="D52" s="6">
        <f t="shared" si="2"/>
        <v>0</v>
      </c>
    </row>
    <row r="53" spans="1:5">
      <c r="A53" s="1" t="s">
        <v>50</v>
      </c>
      <c r="B53">
        <v>598</v>
      </c>
      <c r="C53" s="6">
        <f>Database!B11</f>
        <v>1050</v>
      </c>
      <c r="D53" s="6">
        <f t="shared" si="2"/>
        <v>627900</v>
      </c>
    </row>
    <row r="54" spans="1:5">
      <c r="A54" s="1" t="s">
        <v>64</v>
      </c>
      <c r="B54">
        <v>464</v>
      </c>
      <c r="C54" s="6">
        <f>Database!B12</f>
        <v>1700</v>
      </c>
      <c r="D54" s="6">
        <f t="shared" si="2"/>
        <v>788800</v>
      </c>
    </row>
    <row r="55" spans="1:5">
      <c r="A55" s="1" t="s">
        <v>56</v>
      </c>
      <c r="B55">
        <v>351</v>
      </c>
      <c r="C55" s="6">
        <f>Database!B13</f>
        <v>1350</v>
      </c>
      <c r="D55" s="6">
        <f t="shared" si="2"/>
        <v>473850</v>
      </c>
    </row>
    <row r="56" spans="1:5">
      <c r="A56" s="1" t="s">
        <v>60</v>
      </c>
      <c r="B56">
        <v>0</v>
      </c>
      <c r="C56" s="6">
        <f>Database!B14</f>
        <v>9500</v>
      </c>
      <c r="D56" s="6">
        <f t="shared" si="2"/>
        <v>0</v>
      </c>
    </row>
    <row r="57" spans="1:5">
      <c r="A57" s="1" t="s">
        <v>68</v>
      </c>
      <c r="B57">
        <v>313</v>
      </c>
      <c r="C57" s="6">
        <f>Database!B15</f>
        <v>650</v>
      </c>
      <c r="D57" s="6">
        <f t="shared" si="2"/>
        <v>203450</v>
      </c>
    </row>
    <row r="58" spans="1:5">
      <c r="A58" s="1" t="s">
        <v>86</v>
      </c>
      <c r="B58">
        <v>245</v>
      </c>
      <c r="C58" s="6">
        <f>Database!B16</f>
        <v>875</v>
      </c>
      <c r="D58" s="6">
        <f t="shared" si="2"/>
        <v>214375</v>
      </c>
    </row>
    <row r="59" spans="1:5">
      <c r="A59" s="1" t="s">
        <v>87</v>
      </c>
      <c r="B59">
        <v>207</v>
      </c>
      <c r="C59" s="6">
        <f>Database!B17</f>
        <v>2000</v>
      </c>
      <c r="D59" s="6">
        <f t="shared" si="2"/>
        <v>414000</v>
      </c>
    </row>
    <row r="60" spans="1:5">
      <c r="A60" s="1" t="s">
        <v>88</v>
      </c>
      <c r="B60">
        <v>0</v>
      </c>
      <c r="C60" s="6">
        <f>Database!B18</f>
        <v>2200</v>
      </c>
      <c r="D60" s="6">
        <f t="shared" si="2"/>
        <v>0</v>
      </c>
    </row>
    <row r="61" spans="1:5">
      <c r="C61" s="6"/>
      <c r="D61" s="6"/>
    </row>
    <row r="62" spans="1:5">
      <c r="A62" s="1" t="s">
        <v>89</v>
      </c>
      <c r="B62">
        <f>B47+B48+B49+B50+B51+B52+B53+B54+B55+B56+B57+B58+B59+B60</f>
        <v>10000</v>
      </c>
      <c r="C62" s="6"/>
      <c r="D62" s="6">
        <f>D47+D48+D49+D50+D51+D52+D53+D54+D55+D56+D57+D58+D59+D60</f>
        <v>11748175</v>
      </c>
    </row>
    <row r="64" spans="1:5">
      <c r="A64" s="1" t="s">
        <v>91</v>
      </c>
      <c r="D64" s="6">
        <f>D62/1000</f>
        <v>11748.174999999999</v>
      </c>
    </row>
    <row r="65" spans="1:4">
      <c r="D65" s="40"/>
    </row>
    <row r="66" spans="1:4">
      <c r="A66" s="1" t="s">
        <v>259</v>
      </c>
    </row>
  </sheetData>
  <conditionalFormatting sqref="G10:H25 G27:H27">
    <cfRule type="cellIs" dxfId="40" priority="5" operator="greaterThan">
      <formula>-1</formula>
    </cfRule>
  </conditionalFormatting>
  <conditionalFormatting sqref="G10:H25 G27:H27">
    <cfRule type="cellIs" dxfId="39" priority="3" operator="lessThanOrEqual">
      <formula>-1</formula>
    </cfRule>
  </conditionalFormatting>
  <conditionalFormatting sqref="C30">
    <cfRule type="cellIs" dxfId="38" priority="1" operator="lessThanOrEqual">
      <formula>-1</formula>
    </cfRule>
    <cfRule type="cellIs" dxfId="37" priority="2" operator="greaterThan">
      <formula>-1</formula>
    </cfRule>
  </conditionalFormatting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workbookViewId="0">
      <selection activeCell="B5" sqref="B5"/>
    </sheetView>
  </sheetViews>
  <sheetFormatPr baseColWidth="10" defaultRowHeight="15" x14ac:dyDescent="0"/>
  <cols>
    <col min="1" max="1" width="12.5" customWidth="1"/>
    <col min="5" max="5" width="8.5" bestFit="1" customWidth="1"/>
    <col min="6" max="6" width="11.5" customWidth="1"/>
    <col min="7" max="7" width="11.83203125" bestFit="1" customWidth="1"/>
  </cols>
  <sheetData>
    <row r="1" spans="1:10" ht="25">
      <c r="F1" s="20" t="s">
        <v>19</v>
      </c>
    </row>
    <row r="2" spans="1:10">
      <c r="F2" s="21" t="s">
        <v>221</v>
      </c>
    </row>
    <row r="3" spans="1:10" ht="25">
      <c r="A3" s="17" t="s">
        <v>321</v>
      </c>
    </row>
    <row r="4" spans="1:10">
      <c r="B4" s="10" t="s">
        <v>322</v>
      </c>
    </row>
    <row r="7" spans="1:10" ht="25">
      <c r="A7" s="17" t="s">
        <v>314</v>
      </c>
    </row>
    <row r="9" spans="1:10">
      <c r="A9" s="10" t="s">
        <v>306</v>
      </c>
    </row>
    <row r="11" spans="1:10">
      <c r="A11" s="1" t="s">
        <v>294</v>
      </c>
      <c r="B11" s="1" t="s">
        <v>187</v>
      </c>
      <c r="C11" s="1" t="s">
        <v>309</v>
      </c>
      <c r="D11" s="1" t="s">
        <v>310</v>
      </c>
      <c r="E11" s="1" t="s">
        <v>312</v>
      </c>
      <c r="F11" s="1" t="s">
        <v>318</v>
      </c>
      <c r="G11" s="1" t="s">
        <v>195</v>
      </c>
      <c r="H11" s="1" t="s">
        <v>313</v>
      </c>
      <c r="I11" s="1" t="s">
        <v>37</v>
      </c>
      <c r="J11" s="1" t="s">
        <v>38</v>
      </c>
    </row>
    <row r="12" spans="1:10">
      <c r="J12" s="41"/>
    </row>
    <row r="13" spans="1:10">
      <c r="A13" s="1" t="s">
        <v>307</v>
      </c>
      <c r="B13">
        <v>30</v>
      </c>
      <c r="C13">
        <f>Database!E88</f>
        <v>80</v>
      </c>
      <c r="D13" s="40" t="s">
        <v>186</v>
      </c>
      <c r="E13">
        <f>C13</f>
        <v>80</v>
      </c>
      <c r="F13">
        <f>Database!F88</f>
        <v>220</v>
      </c>
      <c r="G13">
        <f>Database!B62</f>
        <v>270</v>
      </c>
      <c r="H13">
        <f>F13-(G13+E13)</f>
        <v>-130</v>
      </c>
      <c r="I13">
        <v>12.5</v>
      </c>
      <c r="J13" s="41">
        <f>H13/I13</f>
        <v>-10.4</v>
      </c>
    </row>
    <row r="14" spans="1:10">
      <c r="A14" s="1" t="s">
        <v>305</v>
      </c>
      <c r="B14">
        <v>30</v>
      </c>
      <c r="C14">
        <f>Database!E89</f>
        <v>80</v>
      </c>
      <c r="D14">
        <f>Database!E94</f>
        <v>200</v>
      </c>
      <c r="E14">
        <f>(2*D14)+C14</f>
        <v>480</v>
      </c>
      <c r="F14">
        <f>Database!F89</f>
        <v>725</v>
      </c>
      <c r="G14">
        <f>Database!B62</f>
        <v>270</v>
      </c>
      <c r="H14">
        <f t="shared" ref="H14:H18" si="0">F14-(G14+E14)</f>
        <v>-25</v>
      </c>
      <c r="I14">
        <v>13.7</v>
      </c>
      <c r="J14" s="41">
        <f t="shared" ref="J14:J15" si="1">H14/I14</f>
        <v>-1.8248175182481752</v>
      </c>
    </row>
    <row r="15" spans="1:10">
      <c r="A15" s="1" t="s">
        <v>320</v>
      </c>
      <c r="B15">
        <v>40</v>
      </c>
      <c r="C15">
        <f>Database!E90</f>
        <v>520</v>
      </c>
      <c r="D15" s="40" t="s">
        <v>186</v>
      </c>
      <c r="E15">
        <f>C15</f>
        <v>520</v>
      </c>
      <c r="F15">
        <f>Database!F90</f>
        <v>400</v>
      </c>
      <c r="G15">
        <f>Database!B62</f>
        <v>270</v>
      </c>
      <c r="H15">
        <f t="shared" si="0"/>
        <v>-390</v>
      </c>
      <c r="I15">
        <v>56.2</v>
      </c>
      <c r="J15" s="41">
        <f t="shared" si="1"/>
        <v>-6.9395017793594302</v>
      </c>
    </row>
    <row r="16" spans="1:10">
      <c r="A16" s="1" t="s">
        <v>304</v>
      </c>
      <c r="B16">
        <v>50</v>
      </c>
      <c r="C16">
        <f>Database!E91</f>
        <v>400</v>
      </c>
      <c r="D16">
        <f>Database!E94</f>
        <v>200</v>
      </c>
      <c r="E16">
        <f>(4*D16)+C16</f>
        <v>1200</v>
      </c>
      <c r="F16">
        <f>Database!F91</f>
        <v>1550</v>
      </c>
      <c r="G16">
        <f>Database!B62</f>
        <v>270</v>
      </c>
      <c r="H16">
        <f t="shared" si="0"/>
        <v>80</v>
      </c>
      <c r="I16">
        <v>30</v>
      </c>
      <c r="J16" s="41">
        <f>H16/I16</f>
        <v>2.6666666666666665</v>
      </c>
    </row>
    <row r="17" spans="1:10">
      <c r="A17" s="1" t="s">
        <v>296</v>
      </c>
      <c r="B17">
        <v>70</v>
      </c>
      <c r="C17">
        <f>Database!E92</f>
        <v>1850</v>
      </c>
      <c r="D17">
        <f>Database!E94</f>
        <v>200</v>
      </c>
      <c r="E17">
        <f>(6*D17)+C17</f>
        <v>3050</v>
      </c>
      <c r="F17">
        <f>Database!F92</f>
        <v>3500</v>
      </c>
      <c r="G17">
        <f>Database!B62</f>
        <v>270</v>
      </c>
      <c r="H17">
        <f t="shared" si="0"/>
        <v>180</v>
      </c>
      <c r="I17">
        <v>37.5</v>
      </c>
      <c r="J17" s="41">
        <f>H17/I17</f>
        <v>4.8</v>
      </c>
    </row>
    <row r="18" spans="1:10">
      <c r="A18" s="1" t="s">
        <v>308</v>
      </c>
      <c r="B18">
        <v>85</v>
      </c>
      <c r="C18">
        <f>Database!E93</f>
        <v>10000</v>
      </c>
      <c r="D18">
        <f>Database!E94</f>
        <v>200</v>
      </c>
      <c r="E18">
        <f>(8*D18)+C18</f>
        <v>11600</v>
      </c>
      <c r="F18">
        <f>Database!F93</f>
        <v>11250</v>
      </c>
      <c r="G18">
        <f>Database!B62</f>
        <v>270</v>
      </c>
      <c r="H18">
        <f t="shared" si="0"/>
        <v>-620</v>
      </c>
      <c r="I18">
        <v>50</v>
      </c>
      <c r="J18" s="41">
        <f>H18/I18</f>
        <v>-12.4</v>
      </c>
    </row>
    <row r="21" spans="1:10" ht="25">
      <c r="A21" s="17" t="s">
        <v>323</v>
      </c>
    </row>
    <row r="23" spans="1:10">
      <c r="A23" s="1" t="s">
        <v>324</v>
      </c>
      <c r="B23" s="1" t="s">
        <v>325</v>
      </c>
      <c r="C23" s="1" t="s">
        <v>326</v>
      </c>
      <c r="D23" s="1" t="s">
        <v>38</v>
      </c>
    </row>
    <row r="25" spans="1:10">
      <c r="A25" s="1" t="s">
        <v>175</v>
      </c>
    </row>
    <row r="26" spans="1:10">
      <c r="A26" s="1" t="s">
        <v>176</v>
      </c>
    </row>
    <row r="27" spans="1:10">
      <c r="A27" s="1" t="s">
        <v>327</v>
      </c>
    </row>
    <row r="28" spans="1:10">
      <c r="A28" s="1" t="s">
        <v>328</v>
      </c>
    </row>
  </sheetData>
  <conditionalFormatting sqref="J13:J18 H13:H18">
    <cfRule type="cellIs" dxfId="1" priority="1" operator="lessThan">
      <formula>0</formula>
    </cfRule>
    <cfRule type="cellIs" dxfId="0" priority="2" operator="greaterThanOrEqual">
      <formula>0</formula>
    </cfRule>
  </conditionalFormatting>
  <pageMargins left="0.75" right="0.75" top="1" bottom="1" header="0.5" footer="0.5"/>
  <ignoredErrors>
    <ignoredError sqref="E14" formula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0"/>
  <sheetViews>
    <sheetView topLeftCell="A32" workbookViewId="0">
      <selection activeCell="B63" sqref="B63"/>
    </sheetView>
  </sheetViews>
  <sheetFormatPr baseColWidth="10" defaultRowHeight="15" x14ac:dyDescent="0"/>
  <cols>
    <col min="1" max="1" width="17.33203125" customWidth="1"/>
    <col min="3" max="3" width="12" customWidth="1"/>
    <col min="4" max="4" width="17.1640625" customWidth="1"/>
    <col min="5" max="5" width="13" customWidth="1"/>
    <col min="7" max="7" width="15.1640625" bestFit="1" customWidth="1"/>
    <col min="8" max="8" width="12.6640625" customWidth="1"/>
  </cols>
  <sheetData>
    <row r="1" spans="1:6">
      <c r="A1" s="10" t="s">
        <v>110</v>
      </c>
      <c r="D1" s="10" t="s">
        <v>112</v>
      </c>
    </row>
    <row r="3" spans="1:6">
      <c r="A3" s="11" t="s">
        <v>29</v>
      </c>
      <c r="B3" s="11" t="s">
        <v>79</v>
      </c>
      <c r="C3" s="1"/>
      <c r="D3" s="11" t="s">
        <v>22</v>
      </c>
      <c r="E3" s="11" t="s">
        <v>113</v>
      </c>
      <c r="F3" s="11" t="s">
        <v>114</v>
      </c>
    </row>
    <row r="5" spans="1:6">
      <c r="A5" s="1" t="s">
        <v>81</v>
      </c>
      <c r="B5" s="6">
        <v>300</v>
      </c>
      <c r="D5" s="1" t="s">
        <v>46</v>
      </c>
      <c r="E5">
        <v>40</v>
      </c>
      <c r="F5">
        <v>125</v>
      </c>
    </row>
    <row r="6" spans="1:6">
      <c r="A6" s="1" t="s">
        <v>82</v>
      </c>
      <c r="B6" s="6">
        <v>80</v>
      </c>
      <c r="D6" s="1" t="s">
        <v>23</v>
      </c>
      <c r="E6" s="13">
        <v>800</v>
      </c>
      <c r="F6">
        <v>1150</v>
      </c>
    </row>
    <row r="7" spans="1:6">
      <c r="A7" s="1" t="s">
        <v>83</v>
      </c>
      <c r="B7" s="6">
        <v>90</v>
      </c>
      <c r="D7" s="1" t="s">
        <v>39</v>
      </c>
      <c r="E7" s="13">
        <v>400</v>
      </c>
      <c r="F7">
        <v>1000</v>
      </c>
    </row>
    <row r="8" spans="1:6">
      <c r="A8" s="1" t="s">
        <v>84</v>
      </c>
      <c r="B8" s="6">
        <v>950</v>
      </c>
      <c r="D8" s="1" t="s">
        <v>31</v>
      </c>
      <c r="E8" s="13">
        <v>800</v>
      </c>
      <c r="F8">
        <v>1000</v>
      </c>
    </row>
    <row r="9" spans="1:6">
      <c r="A9" s="1" t="s">
        <v>36</v>
      </c>
      <c r="B9" s="6">
        <v>7900</v>
      </c>
      <c r="D9" s="1" t="s">
        <v>35</v>
      </c>
      <c r="E9" s="13">
        <v>8100</v>
      </c>
      <c r="F9">
        <v>12100</v>
      </c>
    </row>
    <row r="10" spans="1:6">
      <c r="A10" s="1" t="s">
        <v>85</v>
      </c>
      <c r="B10" s="6">
        <v>2000</v>
      </c>
      <c r="D10" s="1" t="s">
        <v>49</v>
      </c>
      <c r="E10" s="13">
        <v>950</v>
      </c>
      <c r="F10">
        <v>1200</v>
      </c>
    </row>
    <row r="11" spans="1:6">
      <c r="A11" s="1" t="s">
        <v>50</v>
      </c>
      <c r="B11" s="6">
        <v>1050</v>
      </c>
      <c r="D11" s="1" t="s">
        <v>62</v>
      </c>
      <c r="E11" s="13">
        <v>2750</v>
      </c>
      <c r="F11">
        <v>3900</v>
      </c>
    </row>
    <row r="12" spans="1:6">
      <c r="A12" s="1" t="s">
        <v>64</v>
      </c>
      <c r="B12" s="6">
        <v>1700</v>
      </c>
      <c r="D12" s="1" t="s">
        <v>63</v>
      </c>
      <c r="E12" s="13">
        <v>2000</v>
      </c>
      <c r="F12">
        <v>3500</v>
      </c>
    </row>
    <row r="13" spans="1:6">
      <c r="A13" s="1" t="s">
        <v>56</v>
      </c>
      <c r="B13" s="6">
        <v>1350</v>
      </c>
      <c r="D13" s="1" t="s">
        <v>55</v>
      </c>
      <c r="E13" s="13">
        <v>3300</v>
      </c>
      <c r="F13">
        <v>4750</v>
      </c>
    </row>
    <row r="14" spans="1:6">
      <c r="A14" s="1" t="s">
        <v>60</v>
      </c>
      <c r="B14" s="6">
        <v>9500</v>
      </c>
      <c r="D14" s="1" t="s">
        <v>59</v>
      </c>
      <c r="E14" s="13">
        <v>9750</v>
      </c>
      <c r="F14">
        <v>14000</v>
      </c>
    </row>
    <row r="15" spans="1:6">
      <c r="A15" s="1" t="s">
        <v>68</v>
      </c>
      <c r="B15" s="6">
        <v>650</v>
      </c>
      <c r="D15" s="1" t="s">
        <v>67</v>
      </c>
      <c r="E15" s="13">
        <v>1000</v>
      </c>
      <c r="F15">
        <v>2000</v>
      </c>
    </row>
    <row r="16" spans="1:6">
      <c r="A16" s="1" t="s">
        <v>86</v>
      </c>
      <c r="B16" s="6">
        <v>875</v>
      </c>
      <c r="D16" s="1" t="s">
        <v>105</v>
      </c>
      <c r="E16" s="13">
        <v>1300</v>
      </c>
      <c r="F16">
        <v>1750</v>
      </c>
    </row>
    <row r="17" spans="1:6">
      <c r="A17" s="1" t="s">
        <v>87</v>
      </c>
      <c r="B17" s="6">
        <v>2000</v>
      </c>
      <c r="D17" s="1" t="s">
        <v>106</v>
      </c>
      <c r="E17" s="13">
        <v>3000</v>
      </c>
      <c r="F17">
        <v>5000</v>
      </c>
    </row>
    <row r="18" spans="1:6">
      <c r="A18" s="1" t="s">
        <v>88</v>
      </c>
      <c r="B18" s="6">
        <v>2200</v>
      </c>
      <c r="D18" s="1" t="s">
        <v>139</v>
      </c>
      <c r="E18" s="15">
        <v>1800</v>
      </c>
      <c r="F18">
        <v>2250</v>
      </c>
    </row>
    <row r="19" spans="1:6">
      <c r="D19" s="1" t="s">
        <v>138</v>
      </c>
      <c r="E19" s="15">
        <v>6500</v>
      </c>
      <c r="F19">
        <v>10000</v>
      </c>
    </row>
    <row r="20" spans="1:6">
      <c r="A20" s="10" t="s">
        <v>14</v>
      </c>
      <c r="B20" s="6">
        <v>8</v>
      </c>
      <c r="D20" s="1" t="s">
        <v>72</v>
      </c>
      <c r="E20" s="15">
        <v>6500</v>
      </c>
      <c r="F20">
        <v>9500</v>
      </c>
    </row>
    <row r="22" spans="1:6">
      <c r="A22" s="10" t="s">
        <v>111</v>
      </c>
    </row>
    <row r="23" spans="1:6">
      <c r="D23" s="10" t="s">
        <v>141</v>
      </c>
    </row>
    <row r="24" spans="1:6">
      <c r="A24" s="11" t="s">
        <v>25</v>
      </c>
      <c r="B24" s="11" t="s">
        <v>79</v>
      </c>
    </row>
    <row r="25" spans="1:6">
      <c r="D25" s="11" t="s">
        <v>140</v>
      </c>
      <c r="E25" s="11" t="s">
        <v>79</v>
      </c>
    </row>
    <row r="26" spans="1:6">
      <c r="A26" s="12" t="s">
        <v>32</v>
      </c>
      <c r="B26">
        <v>2000</v>
      </c>
    </row>
    <row r="27" spans="1:6">
      <c r="A27" s="12" t="s">
        <v>40</v>
      </c>
      <c r="B27">
        <v>175</v>
      </c>
      <c r="D27" s="1" t="s">
        <v>3</v>
      </c>
      <c r="E27">
        <v>40</v>
      </c>
    </row>
    <row r="28" spans="1:6">
      <c r="A28" s="12" t="s">
        <v>33</v>
      </c>
      <c r="B28">
        <v>350</v>
      </c>
      <c r="D28" s="1" t="s">
        <v>4</v>
      </c>
      <c r="E28">
        <v>125</v>
      </c>
    </row>
    <row r="29" spans="1:6">
      <c r="A29" s="12" t="s">
        <v>1</v>
      </c>
      <c r="B29">
        <v>100</v>
      </c>
      <c r="D29" s="1" t="s">
        <v>15</v>
      </c>
      <c r="E29">
        <v>140</v>
      </c>
    </row>
    <row r="30" spans="1:6">
      <c r="A30" s="12" t="s">
        <v>51</v>
      </c>
      <c r="B30">
        <v>140</v>
      </c>
      <c r="D30" s="1" t="s">
        <v>7</v>
      </c>
      <c r="E30">
        <v>0</v>
      </c>
    </row>
    <row r="31" spans="1:6">
      <c r="A31" s="12" t="s">
        <v>65</v>
      </c>
      <c r="B31">
        <v>600</v>
      </c>
      <c r="D31" s="1" t="s">
        <v>8</v>
      </c>
      <c r="E31">
        <v>11</v>
      </c>
    </row>
    <row r="32" spans="1:6">
      <c r="A32" s="12" t="s">
        <v>57</v>
      </c>
      <c r="B32">
        <v>1700</v>
      </c>
      <c r="D32" s="1" t="s">
        <v>9</v>
      </c>
      <c r="E32">
        <v>11</v>
      </c>
    </row>
    <row r="33" spans="1:5">
      <c r="A33" s="12" t="s">
        <v>69</v>
      </c>
      <c r="B33">
        <v>400</v>
      </c>
      <c r="D33" s="1" t="s">
        <v>10</v>
      </c>
      <c r="E33">
        <v>14</v>
      </c>
    </row>
    <row r="34" spans="1:5">
      <c r="A34" s="12" t="s">
        <v>107</v>
      </c>
      <c r="B34">
        <v>400</v>
      </c>
      <c r="D34" s="1" t="s">
        <v>11</v>
      </c>
      <c r="E34">
        <v>4</v>
      </c>
    </row>
    <row r="35" spans="1:5">
      <c r="A35" s="12" t="s">
        <v>109</v>
      </c>
      <c r="B35">
        <v>900</v>
      </c>
      <c r="D35" s="1" t="s">
        <v>12</v>
      </c>
      <c r="E35">
        <v>33</v>
      </c>
    </row>
    <row r="36" spans="1:5">
      <c r="A36" s="12" t="s">
        <v>5</v>
      </c>
      <c r="B36">
        <v>650</v>
      </c>
      <c r="D36" s="1" t="s">
        <v>13</v>
      </c>
      <c r="E36">
        <v>31</v>
      </c>
    </row>
    <row r="37" spans="1:5">
      <c r="A37" s="1" t="s">
        <v>137</v>
      </c>
      <c r="B37">
        <v>4100</v>
      </c>
    </row>
    <row r="38" spans="1:5">
      <c r="D38" s="1" t="s">
        <v>142</v>
      </c>
    </row>
    <row r="39" spans="1:5">
      <c r="D39" s="1" t="s">
        <v>143</v>
      </c>
    </row>
    <row r="40" spans="1:5">
      <c r="A40" s="10" t="s">
        <v>123</v>
      </c>
    </row>
    <row r="42" spans="1:5">
      <c r="A42" s="11" t="s">
        <v>117</v>
      </c>
      <c r="B42" s="11" t="s">
        <v>124</v>
      </c>
      <c r="C42" s="11" t="s">
        <v>125</v>
      </c>
    </row>
    <row r="44" spans="1:5">
      <c r="A44" s="1" t="s">
        <v>118</v>
      </c>
      <c r="B44">
        <v>700</v>
      </c>
      <c r="C44">
        <v>200</v>
      </c>
    </row>
    <row r="45" spans="1:5">
      <c r="A45" s="1" t="s">
        <v>119</v>
      </c>
      <c r="B45">
        <v>1200</v>
      </c>
      <c r="C45">
        <v>800</v>
      </c>
    </row>
    <row r="46" spans="1:5">
      <c r="A46" s="1" t="s">
        <v>120</v>
      </c>
      <c r="B46">
        <v>1650</v>
      </c>
      <c r="C46">
        <v>850</v>
      </c>
    </row>
    <row r="47" spans="1:5">
      <c r="A47" s="1" t="s">
        <v>121</v>
      </c>
      <c r="B47">
        <v>5000</v>
      </c>
      <c r="C47">
        <v>4000</v>
      </c>
    </row>
    <row r="48" spans="1:5">
      <c r="A48" s="1" t="s">
        <v>126</v>
      </c>
      <c r="B48">
        <v>86000</v>
      </c>
      <c r="C48">
        <v>89000</v>
      </c>
    </row>
    <row r="51" spans="1:8">
      <c r="A51" s="10" t="s">
        <v>180</v>
      </c>
    </row>
    <row r="53" spans="1:8">
      <c r="A53" s="11" t="s">
        <v>181</v>
      </c>
      <c r="B53" s="11" t="s">
        <v>79</v>
      </c>
      <c r="D53" s="11" t="s">
        <v>182</v>
      </c>
      <c r="E53" s="11" t="s">
        <v>183</v>
      </c>
      <c r="F53" s="11" t="s">
        <v>184</v>
      </c>
      <c r="H53" s="11"/>
    </row>
    <row r="55" spans="1:8">
      <c r="A55" s="1" t="s">
        <v>175</v>
      </c>
      <c r="B55">
        <v>150</v>
      </c>
      <c r="D55" s="12" t="s">
        <v>169</v>
      </c>
      <c r="E55" t="s">
        <v>186</v>
      </c>
      <c r="F55" t="s">
        <v>186</v>
      </c>
    </row>
    <row r="56" spans="1:8">
      <c r="A56" s="1" t="s">
        <v>176</v>
      </c>
      <c r="B56">
        <v>63</v>
      </c>
      <c r="D56" s="12" t="s">
        <v>170</v>
      </c>
      <c r="E56" t="s">
        <v>186</v>
      </c>
      <c r="F56" t="s">
        <v>186</v>
      </c>
    </row>
    <row r="57" spans="1:8">
      <c r="A57" s="1" t="s">
        <v>177</v>
      </c>
      <c r="B57">
        <v>30</v>
      </c>
      <c r="D57" s="12" t="s">
        <v>171</v>
      </c>
      <c r="E57">
        <v>10</v>
      </c>
      <c r="F57">
        <v>95</v>
      </c>
    </row>
    <row r="58" spans="1:8">
      <c r="A58" s="1" t="s">
        <v>178</v>
      </c>
      <c r="B58">
        <v>75</v>
      </c>
      <c r="D58" s="12" t="s">
        <v>172</v>
      </c>
      <c r="E58">
        <v>110</v>
      </c>
      <c r="F58">
        <v>305</v>
      </c>
    </row>
    <row r="59" spans="1:8">
      <c r="A59" s="1" t="s">
        <v>179</v>
      </c>
      <c r="B59">
        <v>470</v>
      </c>
      <c r="D59" s="12" t="s">
        <v>173</v>
      </c>
      <c r="E59">
        <v>495</v>
      </c>
      <c r="F59">
        <v>695</v>
      </c>
    </row>
    <row r="60" spans="1:8">
      <c r="A60" s="1" t="s">
        <v>139</v>
      </c>
      <c r="B60">
        <v>1100</v>
      </c>
      <c r="D60" s="12" t="s">
        <v>174</v>
      </c>
      <c r="E60">
        <v>1250</v>
      </c>
      <c r="F60">
        <v>1450</v>
      </c>
    </row>
    <row r="61" spans="1:8">
      <c r="A61" s="1"/>
      <c r="D61" s="12"/>
    </row>
    <row r="62" spans="1:8">
      <c r="A62" s="11" t="s">
        <v>195</v>
      </c>
      <c r="B62">
        <v>270</v>
      </c>
      <c r="D62" s="18" t="s">
        <v>203</v>
      </c>
    </row>
    <row r="63" spans="1:8">
      <c r="A63" s="18"/>
      <c r="D63" s="12"/>
    </row>
    <row r="64" spans="1:8">
      <c r="A64" s="11" t="s">
        <v>185</v>
      </c>
      <c r="B64">
        <v>85</v>
      </c>
      <c r="D64" s="12" t="s">
        <v>169</v>
      </c>
      <c r="E64">
        <v>48</v>
      </c>
    </row>
    <row r="65" spans="1:7">
      <c r="A65" s="1"/>
      <c r="D65" s="12" t="s">
        <v>170</v>
      </c>
      <c r="E65">
        <v>96</v>
      </c>
    </row>
    <row r="66" spans="1:7">
      <c r="D66" s="12" t="s">
        <v>171</v>
      </c>
      <c r="E66">
        <v>192</v>
      </c>
    </row>
    <row r="67" spans="1:7">
      <c r="A67" s="10" t="s">
        <v>251</v>
      </c>
      <c r="D67" s="12" t="s">
        <v>172</v>
      </c>
      <c r="E67">
        <v>384</v>
      </c>
    </row>
    <row r="68" spans="1:7">
      <c r="D68" s="12" t="s">
        <v>173</v>
      </c>
      <c r="E68">
        <v>768</v>
      </c>
    </row>
    <row r="69" spans="1:7">
      <c r="A69" s="11" t="s">
        <v>252</v>
      </c>
      <c r="B69" s="1" t="s">
        <v>79</v>
      </c>
      <c r="D69" s="12" t="s">
        <v>174</v>
      </c>
      <c r="E69">
        <v>1536</v>
      </c>
    </row>
    <row r="70" spans="1:7">
      <c r="G70" s="12"/>
    </row>
    <row r="71" spans="1:7">
      <c r="A71" s="1" t="s">
        <v>246</v>
      </c>
      <c r="B71">
        <v>1800</v>
      </c>
      <c r="D71" s="1" t="s">
        <v>199</v>
      </c>
      <c r="E71">
        <v>192</v>
      </c>
    </row>
    <row r="72" spans="1:7">
      <c r="A72" s="1" t="s">
        <v>247</v>
      </c>
      <c r="B72">
        <v>1900</v>
      </c>
      <c r="D72" s="1" t="s">
        <v>172</v>
      </c>
      <c r="E72">
        <f>E67</f>
        <v>384</v>
      </c>
    </row>
    <row r="73" spans="1:7">
      <c r="A73" s="1" t="s">
        <v>248</v>
      </c>
      <c r="D73" s="1" t="s">
        <v>200</v>
      </c>
      <c r="E73">
        <v>384</v>
      </c>
    </row>
    <row r="74" spans="1:7">
      <c r="A74" s="1" t="s">
        <v>249</v>
      </c>
      <c r="D74" s="1" t="s">
        <v>173</v>
      </c>
      <c r="E74">
        <f>E68</f>
        <v>768</v>
      </c>
    </row>
    <row r="75" spans="1:7">
      <c r="D75" s="1" t="s">
        <v>201</v>
      </c>
      <c r="E75">
        <v>768</v>
      </c>
    </row>
    <row r="76" spans="1:7">
      <c r="A76" s="11" t="s">
        <v>253</v>
      </c>
      <c r="D76" s="1" t="s">
        <v>174</v>
      </c>
      <c r="E76">
        <v>1380</v>
      </c>
    </row>
    <row r="77" spans="1:7">
      <c r="D77" s="1" t="s">
        <v>202</v>
      </c>
      <c r="E77">
        <v>765</v>
      </c>
    </row>
    <row r="78" spans="1:7">
      <c r="A78" s="1" t="s">
        <v>254</v>
      </c>
      <c r="B78">
        <v>1250</v>
      </c>
    </row>
    <row r="79" spans="1:7">
      <c r="A79" s="1" t="s">
        <v>243</v>
      </c>
      <c r="B79">
        <v>2150</v>
      </c>
      <c r="D79" s="10" t="s">
        <v>300</v>
      </c>
    </row>
    <row r="80" spans="1:7">
      <c r="A80" s="1" t="s">
        <v>255</v>
      </c>
      <c r="B80">
        <v>4550</v>
      </c>
      <c r="E80" s="1" t="s">
        <v>301</v>
      </c>
      <c r="F80" s="1" t="s">
        <v>302</v>
      </c>
      <c r="G80" s="1" t="s">
        <v>303</v>
      </c>
    </row>
    <row r="81" spans="1:7">
      <c r="A81" s="1" t="s">
        <v>256</v>
      </c>
      <c r="B81">
        <v>10000</v>
      </c>
      <c r="D81" s="1" t="s">
        <v>305</v>
      </c>
      <c r="E81">
        <v>40</v>
      </c>
      <c r="F81">
        <v>30</v>
      </c>
      <c r="G81">
        <v>15</v>
      </c>
    </row>
    <row r="82" spans="1:7">
      <c r="A82" s="1" t="s">
        <v>257</v>
      </c>
      <c r="D82" s="1" t="s">
        <v>304</v>
      </c>
      <c r="E82">
        <v>60</v>
      </c>
      <c r="F82">
        <v>50</v>
      </c>
      <c r="G82">
        <v>15</v>
      </c>
    </row>
    <row r="83" spans="1:7">
      <c r="A83" s="1" t="s">
        <v>258</v>
      </c>
      <c r="D83" s="1" t="s">
        <v>295</v>
      </c>
      <c r="E83">
        <v>0</v>
      </c>
      <c r="F83">
        <v>55</v>
      </c>
      <c r="G83">
        <v>15</v>
      </c>
    </row>
    <row r="84" spans="1:7">
      <c r="D84" s="1" t="s">
        <v>296</v>
      </c>
      <c r="E84">
        <v>100</v>
      </c>
      <c r="F84">
        <v>95</v>
      </c>
      <c r="G84">
        <v>15</v>
      </c>
    </row>
    <row r="86" spans="1:7">
      <c r="A86" s="10" t="s">
        <v>280</v>
      </c>
      <c r="D86" s="10" t="s">
        <v>315</v>
      </c>
    </row>
    <row r="87" spans="1:7">
      <c r="E87" s="1" t="s">
        <v>317</v>
      </c>
      <c r="F87" s="1" t="s">
        <v>311</v>
      </c>
    </row>
    <row r="88" spans="1:7">
      <c r="A88" s="11" t="s">
        <v>261</v>
      </c>
      <c r="D88" s="1" t="s">
        <v>307</v>
      </c>
      <c r="E88">
        <v>80</v>
      </c>
      <c r="F88">
        <v>220</v>
      </c>
    </row>
    <row r="89" spans="1:7">
      <c r="D89" s="1" t="s">
        <v>305</v>
      </c>
      <c r="E89">
        <v>80</v>
      </c>
      <c r="F89">
        <v>725</v>
      </c>
    </row>
    <row r="90" spans="1:7">
      <c r="A90" s="1" t="s">
        <v>262</v>
      </c>
      <c r="B90" s="1" t="s">
        <v>277</v>
      </c>
      <c r="C90" s="1" t="s">
        <v>278</v>
      </c>
      <c r="D90" s="1" t="s">
        <v>319</v>
      </c>
      <c r="E90">
        <v>520</v>
      </c>
      <c r="F90">
        <v>400</v>
      </c>
    </row>
    <row r="91" spans="1:7">
      <c r="A91" t="s">
        <v>276</v>
      </c>
      <c r="B91">
        <v>40</v>
      </c>
      <c r="C91">
        <v>100</v>
      </c>
      <c r="D91" s="1" t="s">
        <v>304</v>
      </c>
      <c r="E91">
        <v>400</v>
      </c>
      <c r="F91">
        <v>1550</v>
      </c>
    </row>
    <row r="92" spans="1:7">
      <c r="A92" t="s">
        <v>266</v>
      </c>
      <c r="B92">
        <v>90</v>
      </c>
      <c r="C92">
        <v>60</v>
      </c>
      <c r="D92" s="1" t="s">
        <v>296</v>
      </c>
      <c r="E92">
        <v>1850</v>
      </c>
      <c r="F92">
        <v>3500</v>
      </c>
    </row>
    <row r="93" spans="1:7">
      <c r="A93" t="s">
        <v>267</v>
      </c>
      <c r="B93">
        <v>95</v>
      </c>
      <c r="C93">
        <v>85</v>
      </c>
      <c r="D93" s="1" t="s">
        <v>308</v>
      </c>
      <c r="E93">
        <v>10000</v>
      </c>
      <c r="F93">
        <v>11250</v>
      </c>
    </row>
    <row r="94" spans="1:7">
      <c r="A94" t="s">
        <v>268</v>
      </c>
      <c r="B94">
        <v>145</v>
      </c>
      <c r="C94">
        <v>95</v>
      </c>
      <c r="D94" s="1" t="s">
        <v>316</v>
      </c>
      <c r="E94">
        <v>200</v>
      </c>
      <c r="F94">
        <v>0</v>
      </c>
    </row>
    <row r="95" spans="1:7">
      <c r="A95" t="s">
        <v>269</v>
      </c>
      <c r="B95">
        <v>1500</v>
      </c>
      <c r="C95">
        <v>1700</v>
      </c>
    </row>
    <row r="96" spans="1:7">
      <c r="A96" t="s">
        <v>270</v>
      </c>
      <c r="B96">
        <v>180</v>
      </c>
      <c r="C96">
        <v>190</v>
      </c>
    </row>
    <row r="97" spans="1:7">
      <c r="A97" t="s">
        <v>271</v>
      </c>
      <c r="B97">
        <v>190</v>
      </c>
      <c r="C97">
        <v>210</v>
      </c>
      <c r="D97" s="10" t="s">
        <v>380</v>
      </c>
    </row>
    <row r="98" spans="1:7">
      <c r="A98" t="s">
        <v>272</v>
      </c>
      <c r="B98">
        <v>390</v>
      </c>
      <c r="C98">
        <v>390</v>
      </c>
    </row>
    <row r="99" spans="1:7">
      <c r="A99" t="s">
        <v>273</v>
      </c>
      <c r="B99">
        <v>610</v>
      </c>
      <c r="C99">
        <v>720</v>
      </c>
      <c r="D99" s="1" t="s">
        <v>351</v>
      </c>
      <c r="E99" s="1" t="s">
        <v>353</v>
      </c>
      <c r="F99" s="1" t="s">
        <v>354</v>
      </c>
      <c r="G99" s="1" t="s">
        <v>355</v>
      </c>
    </row>
    <row r="100" spans="1:7">
      <c r="A100" t="s">
        <v>274</v>
      </c>
      <c r="B100" s="40">
        <v>0</v>
      </c>
      <c r="C100" s="40">
        <v>0</v>
      </c>
      <c r="D100" t="s">
        <v>352</v>
      </c>
      <c r="E100">
        <v>2000</v>
      </c>
      <c r="F100">
        <v>175</v>
      </c>
      <c r="G100">
        <v>5</v>
      </c>
    </row>
    <row r="101" spans="1:7">
      <c r="A101" t="s">
        <v>275</v>
      </c>
      <c r="B101" s="40">
        <v>0</v>
      </c>
      <c r="C101" s="40">
        <v>0</v>
      </c>
      <c r="D101" t="s">
        <v>177</v>
      </c>
      <c r="E101">
        <v>7000</v>
      </c>
      <c r="F101">
        <v>225</v>
      </c>
      <c r="G101">
        <v>5</v>
      </c>
    </row>
    <row r="102" spans="1:7">
      <c r="D102" t="s">
        <v>178</v>
      </c>
      <c r="E102">
        <v>25000</v>
      </c>
      <c r="F102">
        <v>600</v>
      </c>
      <c r="G102">
        <v>5</v>
      </c>
    </row>
    <row r="103" spans="1:7">
      <c r="D103" t="s">
        <v>179</v>
      </c>
      <c r="E103">
        <v>57500</v>
      </c>
      <c r="F103">
        <v>2300</v>
      </c>
      <c r="G103">
        <v>10</v>
      </c>
    </row>
    <row r="104" spans="1:7">
      <c r="A104" s="10" t="s">
        <v>329</v>
      </c>
      <c r="D104" t="s">
        <v>139</v>
      </c>
      <c r="E104">
        <v>130000</v>
      </c>
      <c r="F104">
        <v>2250</v>
      </c>
      <c r="G104">
        <v>25</v>
      </c>
    </row>
    <row r="105" spans="1:7">
      <c r="D105" t="s">
        <v>376</v>
      </c>
      <c r="E105">
        <v>15000</v>
      </c>
      <c r="F105">
        <v>2000</v>
      </c>
      <c r="G105">
        <v>8</v>
      </c>
    </row>
    <row r="106" spans="1:7">
      <c r="A106" s="11" t="s">
        <v>330</v>
      </c>
    </row>
    <row r="108" spans="1:7">
      <c r="A108" s="1" t="s">
        <v>294</v>
      </c>
    </row>
    <row r="109" spans="1:7">
      <c r="A109" t="s">
        <v>175</v>
      </c>
      <c r="B109">
        <v>450</v>
      </c>
    </row>
    <row r="110" spans="1:7">
      <c r="A110" t="s">
        <v>176</v>
      </c>
      <c r="B110">
        <v>450</v>
      </c>
    </row>
    <row r="111" spans="1:7">
      <c r="A111" t="s">
        <v>327</v>
      </c>
      <c r="B111">
        <v>850</v>
      </c>
    </row>
    <row r="112" spans="1:7">
      <c r="A112" t="s">
        <v>328</v>
      </c>
      <c r="B112">
        <v>1750</v>
      </c>
    </row>
    <row r="113" spans="1:2">
      <c r="A113" t="s">
        <v>336</v>
      </c>
      <c r="B113">
        <v>50</v>
      </c>
    </row>
    <row r="115" spans="1:2">
      <c r="A115" s="11" t="s">
        <v>331</v>
      </c>
    </row>
    <row r="117" spans="1:2">
      <c r="A117" s="1" t="s">
        <v>198</v>
      </c>
    </row>
    <row r="118" spans="1:2">
      <c r="A118" t="s">
        <v>332</v>
      </c>
      <c r="B118">
        <v>130000</v>
      </c>
    </row>
    <row r="119" spans="1:2">
      <c r="A119" t="s">
        <v>333</v>
      </c>
      <c r="B119">
        <v>325000</v>
      </c>
    </row>
    <row r="120" spans="1:2">
      <c r="A120" t="s">
        <v>334</v>
      </c>
      <c r="B120">
        <v>975000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2"/>
  <sheetViews>
    <sheetView topLeftCell="A14" workbookViewId="0">
      <selection activeCell="I17" sqref="I17"/>
    </sheetView>
  </sheetViews>
  <sheetFormatPr baseColWidth="10" defaultRowHeight="15" x14ac:dyDescent="0"/>
  <cols>
    <col min="1" max="1" width="16" bestFit="1" customWidth="1"/>
    <col min="2" max="2" width="16.1640625" bestFit="1" customWidth="1"/>
    <col min="3" max="3" width="12.5" bestFit="1" customWidth="1"/>
    <col min="4" max="4" width="17" bestFit="1" customWidth="1"/>
    <col min="5" max="5" width="14.6640625" bestFit="1" customWidth="1"/>
    <col min="6" max="6" width="11.83203125" bestFit="1" customWidth="1"/>
    <col min="7" max="7" width="12.1640625" bestFit="1" customWidth="1"/>
    <col min="8" max="8" width="12.6640625" bestFit="1" customWidth="1"/>
    <col min="9" max="9" width="10.33203125" bestFit="1" customWidth="1"/>
  </cols>
  <sheetData>
    <row r="1" spans="1:12" ht="25">
      <c r="F1" s="20" t="s">
        <v>19</v>
      </c>
    </row>
    <row r="2" spans="1:12">
      <c r="A2" s="22"/>
      <c r="B2" s="22"/>
      <c r="C2" s="22"/>
      <c r="D2" s="22"/>
      <c r="E2" s="22"/>
      <c r="F2" s="25" t="s">
        <v>221</v>
      </c>
      <c r="G2" s="22"/>
      <c r="H2" s="22"/>
      <c r="I2" s="22"/>
      <c r="J2" s="22"/>
      <c r="K2" s="22"/>
      <c r="L2" s="22"/>
    </row>
    <row r="3" spans="1:12" ht="25">
      <c r="A3" s="26" t="s">
        <v>97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</row>
    <row r="4" spans="1:12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</row>
    <row r="5" spans="1:12">
      <c r="A5" s="22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</row>
    <row r="6" spans="1:12">
      <c r="A6" s="27" t="s">
        <v>21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</row>
    <row r="7" spans="1:12">
      <c r="A7" s="22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</row>
    <row r="8" spans="1:12">
      <c r="A8" s="28" t="s">
        <v>22</v>
      </c>
      <c r="B8" s="28" t="s">
        <v>24</v>
      </c>
      <c r="C8" s="28" t="s">
        <v>29</v>
      </c>
      <c r="D8" s="28" t="s">
        <v>25</v>
      </c>
      <c r="E8" s="28" t="s">
        <v>75</v>
      </c>
      <c r="F8" s="28" t="s">
        <v>30</v>
      </c>
      <c r="G8" s="28" t="s">
        <v>14</v>
      </c>
      <c r="H8" s="28" t="s">
        <v>26</v>
      </c>
      <c r="I8" s="28" t="s">
        <v>27</v>
      </c>
      <c r="J8" s="28" t="s">
        <v>37</v>
      </c>
      <c r="K8" s="28" t="s">
        <v>38</v>
      </c>
      <c r="L8" s="22"/>
    </row>
    <row r="9" spans="1:12">
      <c r="A9" s="22"/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</row>
    <row r="10" spans="1:12">
      <c r="A10" s="28" t="s">
        <v>46</v>
      </c>
      <c r="B10" s="22">
        <v>3</v>
      </c>
      <c r="C10" s="22" t="s">
        <v>81</v>
      </c>
      <c r="D10" s="22" t="s">
        <v>51</v>
      </c>
      <c r="E10" s="29">
        <f>Database!B5</f>
        <v>300</v>
      </c>
      <c r="F10" s="22">
        <f>Database!B30</f>
        <v>140</v>
      </c>
      <c r="G10" s="29">
        <f>Database!B20</f>
        <v>8</v>
      </c>
      <c r="H10" s="22">
        <f>Database!E5</f>
        <v>40</v>
      </c>
      <c r="I10" s="30">
        <f t="shared" ref="I10:I24" si="0">H10-(E10+F10+G10)</f>
        <v>-408</v>
      </c>
      <c r="J10" s="22">
        <v>25</v>
      </c>
      <c r="K10" s="30">
        <f t="shared" ref="K10:K24" si="1">I10/J10</f>
        <v>-16.32</v>
      </c>
      <c r="L10" s="22"/>
    </row>
    <row r="11" spans="1:12">
      <c r="A11" s="28" t="s">
        <v>23</v>
      </c>
      <c r="B11" s="22">
        <v>5</v>
      </c>
      <c r="C11" s="22" t="s">
        <v>28</v>
      </c>
      <c r="D11" s="22" t="s">
        <v>32</v>
      </c>
      <c r="E11" s="29">
        <f>Database!B6</f>
        <v>80</v>
      </c>
      <c r="F11" s="22">
        <f>Database!B26</f>
        <v>2000</v>
      </c>
      <c r="G11" s="22">
        <v>8</v>
      </c>
      <c r="H11" s="22">
        <f>Database!E6</f>
        <v>800</v>
      </c>
      <c r="I11" s="30">
        <f t="shared" si="0"/>
        <v>-1288</v>
      </c>
      <c r="J11" s="22">
        <v>37.5</v>
      </c>
      <c r="K11" s="30">
        <f t="shared" si="1"/>
        <v>-34.346666666666664</v>
      </c>
      <c r="L11" s="22"/>
    </row>
    <row r="12" spans="1:12">
      <c r="A12" s="28" t="s">
        <v>39</v>
      </c>
      <c r="B12" s="22">
        <v>22</v>
      </c>
      <c r="C12" s="22" t="s">
        <v>34</v>
      </c>
      <c r="D12" s="22" t="s">
        <v>40</v>
      </c>
      <c r="E12" s="29">
        <f>Database!B8</f>
        <v>950</v>
      </c>
      <c r="F12" s="22">
        <f>Database!B27</f>
        <v>175</v>
      </c>
      <c r="G12" s="22">
        <v>8</v>
      </c>
      <c r="H12" s="22">
        <f>Database!E7</f>
        <v>400</v>
      </c>
      <c r="I12" s="30">
        <f t="shared" si="0"/>
        <v>-733</v>
      </c>
      <c r="J12" s="22">
        <v>62.5</v>
      </c>
      <c r="K12" s="30">
        <f t="shared" si="1"/>
        <v>-11.728</v>
      </c>
      <c r="L12" s="22"/>
    </row>
    <row r="13" spans="1:12">
      <c r="A13" s="28" t="s">
        <v>31</v>
      </c>
      <c r="B13" s="22">
        <v>26</v>
      </c>
      <c r="C13" s="22" t="s">
        <v>34</v>
      </c>
      <c r="D13" s="22" t="s">
        <v>33</v>
      </c>
      <c r="E13" s="29">
        <f>Database!B8</f>
        <v>950</v>
      </c>
      <c r="F13" s="22">
        <f>Database!B28</f>
        <v>350</v>
      </c>
      <c r="G13" s="22">
        <v>8</v>
      </c>
      <c r="H13" s="22">
        <f>Database!E8</f>
        <v>800</v>
      </c>
      <c r="I13" s="30">
        <f t="shared" si="0"/>
        <v>-508</v>
      </c>
      <c r="J13" s="22">
        <v>67.5</v>
      </c>
      <c r="K13" s="30">
        <f t="shared" si="1"/>
        <v>-7.5259259259259261</v>
      </c>
      <c r="L13" s="22"/>
    </row>
    <row r="14" spans="1:12">
      <c r="A14" s="28" t="s">
        <v>35</v>
      </c>
      <c r="B14" s="22">
        <v>38</v>
      </c>
      <c r="C14" s="22" t="s">
        <v>36</v>
      </c>
      <c r="D14" s="22" t="s">
        <v>1</v>
      </c>
      <c r="E14" s="29">
        <f>Database!B9</f>
        <v>7900</v>
      </c>
      <c r="F14" s="22">
        <f>Database!B29</f>
        <v>100</v>
      </c>
      <c r="G14" s="22">
        <v>8</v>
      </c>
      <c r="H14" s="22">
        <f>Database!E9</f>
        <v>8100</v>
      </c>
      <c r="I14" s="30">
        <f t="shared" si="0"/>
        <v>92</v>
      </c>
      <c r="J14" s="22">
        <v>87.5</v>
      </c>
      <c r="K14" s="30">
        <f t="shared" si="1"/>
        <v>1.0514285714285714</v>
      </c>
      <c r="L14" s="22"/>
    </row>
    <row r="15" spans="1:12">
      <c r="A15" s="28" t="s">
        <v>49</v>
      </c>
      <c r="B15" s="22">
        <v>45</v>
      </c>
      <c r="C15" s="22" t="s">
        <v>50</v>
      </c>
      <c r="D15" s="22" t="s">
        <v>51</v>
      </c>
      <c r="E15" s="29">
        <f>Database!B11</f>
        <v>1050</v>
      </c>
      <c r="F15" s="22">
        <f>Database!B30</f>
        <v>140</v>
      </c>
      <c r="G15" s="22">
        <v>8</v>
      </c>
      <c r="H15" s="22">
        <f>Database!E10</f>
        <v>950</v>
      </c>
      <c r="I15" s="30">
        <f t="shared" si="0"/>
        <v>-248</v>
      </c>
      <c r="J15" s="22">
        <v>100</v>
      </c>
      <c r="K15" s="30">
        <f t="shared" si="1"/>
        <v>-2.48</v>
      </c>
      <c r="L15" s="22"/>
    </row>
    <row r="16" spans="1:12">
      <c r="A16" s="28" t="s">
        <v>204</v>
      </c>
      <c r="B16" s="22">
        <v>48</v>
      </c>
      <c r="C16" s="22" t="s">
        <v>50</v>
      </c>
      <c r="D16" s="22" t="s">
        <v>32</v>
      </c>
      <c r="E16" s="29">
        <f>Database!B11</f>
        <v>1050</v>
      </c>
      <c r="F16" s="22">
        <f>Database!B26</f>
        <v>2000</v>
      </c>
      <c r="G16" s="22">
        <v>8</v>
      </c>
      <c r="H16" s="22">
        <f>Database!E11</f>
        <v>2750</v>
      </c>
      <c r="I16" s="30">
        <f t="shared" si="0"/>
        <v>-308</v>
      </c>
      <c r="J16" s="22">
        <v>106.3</v>
      </c>
      <c r="K16" s="30">
        <f t="shared" si="1"/>
        <v>-2.8974600188146757</v>
      </c>
      <c r="L16" s="22"/>
    </row>
    <row r="17" spans="1:12">
      <c r="A17" s="28" t="s">
        <v>63</v>
      </c>
      <c r="B17" s="22">
        <v>52</v>
      </c>
      <c r="C17" s="22" t="s">
        <v>64</v>
      </c>
      <c r="D17" s="22" t="s">
        <v>65</v>
      </c>
      <c r="E17" s="29">
        <f>Database!B12</f>
        <v>1700</v>
      </c>
      <c r="F17" s="22">
        <f>Database!B31</f>
        <v>600</v>
      </c>
      <c r="G17" s="22">
        <v>8</v>
      </c>
      <c r="H17" s="22">
        <f>Database!E12</f>
        <v>2000</v>
      </c>
      <c r="I17" s="30">
        <f t="shared" si="0"/>
        <v>-308</v>
      </c>
      <c r="J17" s="22">
        <v>117.5</v>
      </c>
      <c r="K17" s="30">
        <f t="shared" si="1"/>
        <v>-2.6212765957446806</v>
      </c>
      <c r="L17" s="22"/>
    </row>
    <row r="18" spans="1:12">
      <c r="A18" s="28" t="s">
        <v>55</v>
      </c>
      <c r="B18" s="22">
        <v>55</v>
      </c>
      <c r="C18" s="22" t="s">
        <v>56</v>
      </c>
      <c r="D18" s="22" t="s">
        <v>57</v>
      </c>
      <c r="E18" s="29">
        <f>Database!B13</f>
        <v>1350</v>
      </c>
      <c r="F18" s="22">
        <f>Database!B32</f>
        <v>1700</v>
      </c>
      <c r="G18" s="22">
        <v>8</v>
      </c>
      <c r="H18" s="22">
        <f>Database!E13</f>
        <v>3300</v>
      </c>
      <c r="I18" s="30">
        <f t="shared" si="0"/>
        <v>242</v>
      </c>
      <c r="J18" s="22">
        <v>125</v>
      </c>
      <c r="K18" s="30">
        <f t="shared" si="1"/>
        <v>1.9359999999999999</v>
      </c>
      <c r="L18" s="22"/>
    </row>
    <row r="19" spans="1:12">
      <c r="A19" s="28" t="s">
        <v>235</v>
      </c>
      <c r="B19" s="22">
        <v>63</v>
      </c>
      <c r="C19" s="22" t="s">
        <v>60</v>
      </c>
      <c r="D19" s="22" t="s">
        <v>40</v>
      </c>
      <c r="E19" s="29">
        <f>Database!B14</f>
        <v>9500</v>
      </c>
      <c r="F19" s="22">
        <f>Database!B27</f>
        <v>175</v>
      </c>
      <c r="G19" s="22">
        <v>8</v>
      </c>
      <c r="H19" s="22">
        <f>Database!E14</f>
        <v>9750</v>
      </c>
      <c r="I19" s="30">
        <f t="shared" si="0"/>
        <v>67</v>
      </c>
      <c r="J19" s="22">
        <v>142.5</v>
      </c>
      <c r="K19" s="30">
        <f t="shared" si="1"/>
        <v>0.47017543859649125</v>
      </c>
      <c r="L19" s="22"/>
    </row>
    <row r="20" spans="1:12">
      <c r="A20" s="28" t="s">
        <v>67</v>
      </c>
      <c r="B20" s="22">
        <v>66</v>
      </c>
      <c r="C20" s="22" t="s">
        <v>68</v>
      </c>
      <c r="D20" s="22" t="s">
        <v>69</v>
      </c>
      <c r="E20" s="29">
        <f>Database!B15</f>
        <v>650</v>
      </c>
      <c r="F20" s="22">
        <f>Database!B33</f>
        <v>400</v>
      </c>
      <c r="G20" s="22">
        <v>8</v>
      </c>
      <c r="H20" s="22">
        <f>Database!E15</f>
        <v>1000</v>
      </c>
      <c r="I20" s="30">
        <f t="shared" si="0"/>
        <v>-58</v>
      </c>
      <c r="J20" s="22">
        <v>150</v>
      </c>
      <c r="K20" s="30">
        <f>I20/J20</f>
        <v>-0.38666666666666666</v>
      </c>
      <c r="L20" s="22"/>
    </row>
    <row r="21" spans="1:12">
      <c r="A21" s="28" t="s">
        <v>105</v>
      </c>
      <c r="B21" s="22">
        <v>69</v>
      </c>
      <c r="C21" s="22" t="s">
        <v>86</v>
      </c>
      <c r="D21" s="22" t="s">
        <v>107</v>
      </c>
      <c r="E21" s="29">
        <f>Database!B16</f>
        <v>875</v>
      </c>
      <c r="F21" s="22">
        <f>Database!B34</f>
        <v>400</v>
      </c>
      <c r="G21" s="22">
        <v>8</v>
      </c>
      <c r="H21" s="22">
        <f>Database!E16</f>
        <v>1300</v>
      </c>
      <c r="I21" s="30">
        <f t="shared" si="0"/>
        <v>17</v>
      </c>
      <c r="J21" s="22">
        <v>157.5</v>
      </c>
      <c r="K21" s="30">
        <f t="shared" si="1"/>
        <v>0.10793650793650794</v>
      </c>
      <c r="L21" s="22"/>
    </row>
    <row r="22" spans="1:12">
      <c r="A22" s="28" t="s">
        <v>106</v>
      </c>
      <c r="B22" s="22">
        <v>72</v>
      </c>
      <c r="C22" s="22" t="s">
        <v>108</v>
      </c>
      <c r="D22" s="22" t="s">
        <v>109</v>
      </c>
      <c r="E22" s="29">
        <f>Database!B17</f>
        <v>2000</v>
      </c>
      <c r="F22" s="22">
        <f>Database!B35</f>
        <v>900</v>
      </c>
      <c r="G22" s="22">
        <v>8</v>
      </c>
      <c r="H22" s="22">
        <f>Database!E17</f>
        <v>3000</v>
      </c>
      <c r="I22" s="30">
        <f t="shared" si="0"/>
        <v>92</v>
      </c>
      <c r="J22" s="22">
        <v>162.5</v>
      </c>
      <c r="K22" s="30">
        <f t="shared" si="1"/>
        <v>0.56615384615384612</v>
      </c>
      <c r="L22" s="22"/>
    </row>
    <row r="23" spans="1:12">
      <c r="A23" s="28" t="s">
        <v>139</v>
      </c>
      <c r="B23" s="22">
        <v>76</v>
      </c>
      <c r="C23" s="22" t="s">
        <v>86</v>
      </c>
      <c r="D23" s="22" t="s">
        <v>5</v>
      </c>
      <c r="E23" s="29">
        <f>Database!B16</f>
        <v>875</v>
      </c>
      <c r="F23" s="29">
        <f>Database!B36</f>
        <v>650</v>
      </c>
      <c r="G23" s="22">
        <v>8</v>
      </c>
      <c r="H23" s="22">
        <f>Database!E18</f>
        <v>1800</v>
      </c>
      <c r="I23" s="30">
        <f t="shared" si="0"/>
        <v>267</v>
      </c>
      <c r="J23" s="22">
        <v>172.5</v>
      </c>
      <c r="K23" s="30">
        <f t="shared" si="1"/>
        <v>1.5478260869565217</v>
      </c>
      <c r="L23" s="22"/>
    </row>
    <row r="24" spans="1:12">
      <c r="A24" s="28" t="s">
        <v>138</v>
      </c>
      <c r="B24" s="22">
        <v>81</v>
      </c>
      <c r="C24" s="22" t="s">
        <v>85</v>
      </c>
      <c r="D24" s="22" t="s">
        <v>137</v>
      </c>
      <c r="E24" s="29">
        <f>Database!B10</f>
        <v>2000</v>
      </c>
      <c r="F24" s="29">
        <f>Database!B37</f>
        <v>4100</v>
      </c>
      <c r="G24" s="22">
        <v>8</v>
      </c>
      <c r="H24" s="22">
        <f>Database!E19</f>
        <v>6500</v>
      </c>
      <c r="I24" s="30">
        <f t="shared" si="0"/>
        <v>392</v>
      </c>
      <c r="J24" s="22">
        <v>180</v>
      </c>
      <c r="K24" s="30">
        <f t="shared" si="1"/>
        <v>2.1777777777777776</v>
      </c>
      <c r="L24" s="22"/>
    </row>
    <row r="25" spans="1:12">
      <c r="A25" s="22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</row>
    <row r="26" spans="1:12">
      <c r="A26" s="27" t="s">
        <v>70</v>
      </c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</row>
    <row r="27" spans="1:12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</row>
    <row r="28" spans="1:12">
      <c r="A28" s="28" t="s">
        <v>22</v>
      </c>
      <c r="B28" s="28" t="s">
        <v>24</v>
      </c>
      <c r="C28" s="28" t="s">
        <v>71</v>
      </c>
      <c r="D28" s="28" t="s">
        <v>225</v>
      </c>
      <c r="E28" s="28" t="s">
        <v>228</v>
      </c>
      <c r="F28" s="28" t="s">
        <v>229</v>
      </c>
      <c r="G28" s="28" t="s">
        <v>230</v>
      </c>
      <c r="H28" s="22"/>
      <c r="I28" s="22"/>
      <c r="J28" s="22"/>
      <c r="K28" s="22"/>
      <c r="L28" s="22"/>
    </row>
    <row r="29" spans="1:12">
      <c r="A29" s="2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</row>
    <row r="30" spans="1:12">
      <c r="A30" s="28" t="s">
        <v>49</v>
      </c>
      <c r="B30" s="22">
        <v>45</v>
      </c>
      <c r="C30" s="31">
        <f>E15+F15+G15</f>
        <v>1198</v>
      </c>
      <c r="D30" s="31">
        <f>H15</f>
        <v>950</v>
      </c>
      <c r="E30" s="31">
        <f>D30-C30</f>
        <v>-248</v>
      </c>
      <c r="F30" s="22">
        <f>Database!F10</f>
        <v>1200</v>
      </c>
      <c r="G30" s="31">
        <f>F30-(1.33*(I15))</f>
        <v>1529.8400000000001</v>
      </c>
      <c r="H30" s="22"/>
      <c r="I30" s="22"/>
      <c r="J30" s="22"/>
      <c r="K30" s="22"/>
      <c r="L30" s="22"/>
    </row>
    <row r="31" spans="1:12">
      <c r="A31" s="28" t="s">
        <v>55</v>
      </c>
      <c r="B31" s="22">
        <v>55</v>
      </c>
      <c r="C31" s="31">
        <f>E18+F18+G18</f>
        <v>3058</v>
      </c>
      <c r="D31" s="31">
        <f>H18</f>
        <v>3300</v>
      </c>
      <c r="E31" s="31">
        <f t="shared" ref="E31:E34" si="2">D31-C31</f>
        <v>242</v>
      </c>
      <c r="F31" s="22">
        <f>Database!F13</f>
        <v>4750</v>
      </c>
      <c r="G31" s="31">
        <f>F31-(1.33*(I18))</f>
        <v>4428.1400000000003</v>
      </c>
      <c r="H31" s="22"/>
      <c r="I31" s="22"/>
      <c r="J31" s="22"/>
      <c r="K31" s="22"/>
      <c r="L31" s="22"/>
    </row>
    <row r="32" spans="1:12">
      <c r="A32" s="28" t="s">
        <v>67</v>
      </c>
      <c r="B32" s="22">
        <v>66</v>
      </c>
      <c r="C32" s="31">
        <f>E20+F20+G20</f>
        <v>1058</v>
      </c>
      <c r="D32" s="31">
        <f>H20</f>
        <v>1000</v>
      </c>
      <c r="E32" s="31">
        <f t="shared" si="2"/>
        <v>-58</v>
      </c>
      <c r="F32" s="22">
        <f>Database!F15</f>
        <v>2000</v>
      </c>
      <c r="G32" s="31">
        <f>F32-(1.33*(I20))</f>
        <v>2077.14</v>
      </c>
      <c r="H32" s="22"/>
      <c r="I32" s="22"/>
      <c r="J32" s="22"/>
      <c r="K32" s="22"/>
      <c r="L32" s="22"/>
    </row>
    <row r="33" spans="1:12">
      <c r="A33" s="22"/>
      <c r="B33" s="22"/>
      <c r="C33" s="31"/>
      <c r="D33" s="31"/>
      <c r="E33" s="31"/>
      <c r="F33" s="22"/>
      <c r="G33" s="22"/>
      <c r="H33" s="22"/>
      <c r="I33" s="22"/>
      <c r="J33" s="22"/>
      <c r="K33" s="22"/>
      <c r="L33" s="22"/>
    </row>
    <row r="34" spans="1:12">
      <c r="A34" s="28" t="s">
        <v>226</v>
      </c>
      <c r="B34" s="22">
        <v>66</v>
      </c>
      <c r="C34" s="31">
        <f>C30+C31+C32</f>
        <v>5314</v>
      </c>
      <c r="D34" s="31">
        <f>Database!E20</f>
        <v>6500</v>
      </c>
      <c r="E34" s="31">
        <f t="shared" si="2"/>
        <v>1186</v>
      </c>
      <c r="F34" s="22"/>
      <c r="G34" s="22"/>
      <c r="H34" s="22"/>
      <c r="I34" s="22" t="s">
        <v>231</v>
      </c>
      <c r="J34" s="22"/>
      <c r="K34" s="22"/>
      <c r="L34" s="22"/>
    </row>
    <row r="35" spans="1:12">
      <c r="A35" s="28" t="s">
        <v>227</v>
      </c>
      <c r="B35" s="22">
        <v>66</v>
      </c>
      <c r="C35" s="31">
        <f>1.33*(C30+C31+C32)</f>
        <v>7067.6200000000008</v>
      </c>
      <c r="D35" s="22"/>
      <c r="E35" s="22"/>
      <c r="F35" s="22">
        <f>Database!F20</f>
        <v>9500</v>
      </c>
      <c r="G35" s="31">
        <f>F35-C35</f>
        <v>2432.3799999999992</v>
      </c>
      <c r="H35" s="22"/>
      <c r="I35" s="22" t="s">
        <v>232</v>
      </c>
      <c r="J35" s="22"/>
      <c r="K35" s="22"/>
      <c r="L35" s="22"/>
    </row>
    <row r="36" spans="1:12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</row>
    <row r="37" spans="1:12">
      <c r="A37" s="2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</row>
    <row r="38" spans="1:12">
      <c r="A38" s="27" t="s">
        <v>76</v>
      </c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</row>
    <row r="39" spans="1:12">
      <c r="A39" s="22"/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</row>
    <row r="40" spans="1:12">
      <c r="A40" s="28" t="s">
        <v>41</v>
      </c>
      <c r="B40" s="28" t="s">
        <v>43</v>
      </c>
      <c r="C40" s="28" t="s">
        <v>44</v>
      </c>
      <c r="D40" s="28" t="s">
        <v>53</v>
      </c>
      <c r="E40" s="28" t="s">
        <v>47</v>
      </c>
      <c r="F40" s="22"/>
      <c r="G40" s="22"/>
      <c r="H40" s="22"/>
      <c r="I40" s="22"/>
      <c r="J40" s="22"/>
      <c r="K40" s="22"/>
      <c r="L40" s="22"/>
    </row>
    <row r="41" spans="1:12">
      <c r="A41" s="22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</row>
    <row r="42" spans="1:12">
      <c r="A42" s="32" t="s">
        <v>42</v>
      </c>
      <c r="B42" s="22" t="s">
        <v>46</v>
      </c>
      <c r="C42" s="22">
        <v>6</v>
      </c>
      <c r="D42" s="31">
        <f t="shared" ref="D42:D47" si="3">C42*-(E10+F10+G10)</f>
        <v>-2688</v>
      </c>
      <c r="E42" s="31">
        <f t="shared" ref="E42:E47" si="4">C42*I10</f>
        <v>-2448</v>
      </c>
      <c r="F42" s="22"/>
      <c r="G42" s="22"/>
      <c r="H42" s="22"/>
      <c r="I42" s="22"/>
      <c r="J42" s="22"/>
      <c r="K42" s="22"/>
      <c r="L42" s="22"/>
    </row>
    <row r="43" spans="1:12">
      <c r="A43" s="28" t="s">
        <v>45</v>
      </c>
      <c r="B43" s="22" t="s">
        <v>23</v>
      </c>
      <c r="C43" s="22">
        <v>140</v>
      </c>
      <c r="D43" s="31">
        <f t="shared" si="3"/>
        <v>-292320</v>
      </c>
      <c r="E43" s="31">
        <f t="shared" si="4"/>
        <v>-180320</v>
      </c>
      <c r="F43" s="22"/>
      <c r="G43" s="22"/>
      <c r="H43" s="22"/>
      <c r="I43" s="22"/>
      <c r="J43" s="22"/>
      <c r="K43" s="22"/>
      <c r="L43" s="22"/>
    </row>
    <row r="44" spans="1:12">
      <c r="A44" s="28" t="s">
        <v>74</v>
      </c>
      <c r="B44" s="22" t="s">
        <v>39</v>
      </c>
      <c r="C44" s="22">
        <v>50</v>
      </c>
      <c r="D44" s="31">
        <f t="shared" si="3"/>
        <v>-56650</v>
      </c>
      <c r="E44" s="31">
        <f t="shared" si="4"/>
        <v>-36650</v>
      </c>
      <c r="F44" s="22"/>
      <c r="G44" s="22"/>
      <c r="H44" s="22"/>
      <c r="I44" s="22"/>
      <c r="J44" s="22"/>
      <c r="K44" s="22"/>
      <c r="L44" s="22"/>
    </row>
    <row r="45" spans="1:12">
      <c r="A45" s="28" t="s">
        <v>48</v>
      </c>
      <c r="B45" s="22" t="s">
        <v>31</v>
      </c>
      <c r="C45" s="22">
        <v>322</v>
      </c>
      <c r="D45" s="31">
        <f t="shared" si="3"/>
        <v>-421176</v>
      </c>
      <c r="E45" s="31">
        <f t="shared" si="4"/>
        <v>-163576</v>
      </c>
      <c r="F45" s="22"/>
      <c r="G45" s="22"/>
      <c r="H45" s="22"/>
      <c r="I45" s="22"/>
      <c r="J45" s="22"/>
      <c r="K45" s="22"/>
      <c r="L45" s="22"/>
    </row>
    <row r="46" spans="1:12">
      <c r="A46" s="28" t="s">
        <v>52</v>
      </c>
      <c r="B46" s="22" t="s">
        <v>35</v>
      </c>
      <c r="C46" s="22">
        <v>312</v>
      </c>
      <c r="D46" s="31">
        <f t="shared" si="3"/>
        <v>-2498496</v>
      </c>
      <c r="E46" s="31">
        <f t="shared" si="4"/>
        <v>28704</v>
      </c>
      <c r="F46" s="22"/>
      <c r="G46" s="22"/>
      <c r="H46" s="22"/>
      <c r="I46" s="22"/>
      <c r="J46" s="22"/>
      <c r="K46" s="22"/>
      <c r="L46" s="22"/>
    </row>
    <row r="47" spans="1:12">
      <c r="A47" s="28" t="s">
        <v>58</v>
      </c>
      <c r="B47" s="22" t="s">
        <v>49</v>
      </c>
      <c r="C47" s="22">
        <v>1052</v>
      </c>
      <c r="D47" s="31">
        <f t="shared" si="3"/>
        <v>-1260296</v>
      </c>
      <c r="E47" s="31">
        <f t="shared" si="4"/>
        <v>-260896</v>
      </c>
      <c r="F47" s="22"/>
      <c r="G47" s="22"/>
      <c r="H47" s="22"/>
      <c r="I47" s="22"/>
      <c r="J47" s="22"/>
      <c r="K47" s="22"/>
      <c r="L47" s="22"/>
    </row>
    <row r="48" spans="1:12">
      <c r="A48" s="28" t="s">
        <v>61</v>
      </c>
      <c r="B48" s="22" t="s">
        <v>55</v>
      </c>
      <c r="C48" s="22">
        <v>1616</v>
      </c>
      <c r="D48" s="31">
        <f>C48*-(E18+F18+G18)</f>
        <v>-4941728</v>
      </c>
      <c r="E48" s="31">
        <f>C48*I18</f>
        <v>391072</v>
      </c>
      <c r="F48" s="22"/>
      <c r="G48" s="22"/>
      <c r="H48" s="22"/>
      <c r="I48" s="22"/>
      <c r="J48" s="22"/>
      <c r="K48" s="22"/>
      <c r="L48" s="22"/>
    </row>
    <row r="49" spans="1:12">
      <c r="A49" s="22"/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</row>
    <row r="50" spans="1:12">
      <c r="A50" s="22"/>
      <c r="B50" s="31"/>
      <c r="C50" s="33" t="s">
        <v>54</v>
      </c>
      <c r="D50" s="31">
        <f>SUM(D42:D48)</f>
        <v>-9473354</v>
      </c>
      <c r="E50" s="31">
        <f>SUM(E42:E48)</f>
        <v>-224114</v>
      </c>
      <c r="F50" s="22"/>
      <c r="G50" s="22"/>
      <c r="H50" s="22"/>
      <c r="I50" s="22"/>
      <c r="J50" s="22"/>
      <c r="K50" s="22"/>
      <c r="L50" s="22"/>
    </row>
    <row r="51" spans="1:12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</row>
    <row r="52" spans="1:12">
      <c r="A52" s="27" t="s">
        <v>100</v>
      </c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</row>
    <row r="53" spans="1:12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</row>
    <row r="54" spans="1:12">
      <c r="A54" s="28" t="s">
        <v>43</v>
      </c>
      <c r="B54" s="28" t="s">
        <v>44</v>
      </c>
      <c r="C54" s="28" t="s">
        <v>101</v>
      </c>
      <c r="D54" s="28" t="s">
        <v>102</v>
      </c>
      <c r="E54" s="22"/>
      <c r="F54" s="22"/>
      <c r="G54" s="22"/>
      <c r="H54" s="22"/>
      <c r="I54" s="22"/>
      <c r="J54" s="22"/>
      <c r="K54" s="22"/>
      <c r="L54" s="22"/>
    </row>
    <row r="55" spans="1:12">
      <c r="A55" s="22"/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</row>
    <row r="56" spans="1:12">
      <c r="A56" s="28" t="s">
        <v>46</v>
      </c>
      <c r="B56" s="23">
        <v>0</v>
      </c>
      <c r="C56" s="22">
        <v>25</v>
      </c>
      <c r="D56" s="30">
        <f t="shared" ref="D56:D61" si="5">B56*C56</f>
        <v>0</v>
      </c>
      <c r="E56" s="22"/>
      <c r="F56" s="22"/>
      <c r="G56" s="22"/>
      <c r="H56" s="22"/>
      <c r="I56" s="22"/>
      <c r="J56" s="22"/>
      <c r="K56" s="22"/>
      <c r="L56" s="22"/>
    </row>
    <row r="57" spans="1:12">
      <c r="A57" s="28" t="s">
        <v>23</v>
      </c>
      <c r="B57" s="39">
        <v>0</v>
      </c>
      <c r="C57" s="22">
        <v>37.5</v>
      </c>
      <c r="D57" s="30">
        <f t="shared" si="5"/>
        <v>0</v>
      </c>
      <c r="E57" s="22"/>
      <c r="F57" s="22"/>
      <c r="G57" s="22"/>
      <c r="H57" s="22"/>
      <c r="I57" s="22"/>
      <c r="J57" s="22"/>
      <c r="K57" s="22"/>
      <c r="L57" s="22"/>
    </row>
    <row r="58" spans="1:12">
      <c r="A58" s="28" t="s">
        <v>39</v>
      </c>
      <c r="B58" s="39">
        <v>0</v>
      </c>
      <c r="C58" s="22">
        <v>62.5</v>
      </c>
      <c r="D58" s="30">
        <f t="shared" si="5"/>
        <v>0</v>
      </c>
      <c r="E58" s="22"/>
      <c r="F58" s="22"/>
      <c r="G58" s="22"/>
      <c r="H58" s="22"/>
      <c r="I58" s="22"/>
      <c r="J58" s="22"/>
      <c r="K58" s="22"/>
      <c r="L58" s="22"/>
    </row>
    <row r="59" spans="1:12">
      <c r="A59" s="28" t="s">
        <v>31</v>
      </c>
      <c r="B59" s="39">
        <v>0</v>
      </c>
      <c r="C59" s="22">
        <v>67.5</v>
      </c>
      <c r="D59" s="30">
        <f t="shared" si="5"/>
        <v>0</v>
      </c>
      <c r="E59" s="22"/>
      <c r="F59" s="22"/>
      <c r="G59" s="22"/>
      <c r="H59" s="22"/>
      <c r="I59" s="22"/>
      <c r="J59" s="22"/>
      <c r="K59" s="22"/>
      <c r="L59" s="22"/>
    </row>
    <row r="60" spans="1:12">
      <c r="A60" s="28" t="s">
        <v>35</v>
      </c>
      <c r="B60" s="39">
        <v>0</v>
      </c>
      <c r="C60" s="22">
        <v>87.5</v>
      </c>
      <c r="D60" s="30">
        <f t="shared" si="5"/>
        <v>0</v>
      </c>
      <c r="E60" s="22"/>
      <c r="F60" s="22"/>
      <c r="G60" s="22"/>
      <c r="H60" s="22"/>
      <c r="I60" s="22"/>
      <c r="J60" s="22"/>
      <c r="K60" s="22"/>
      <c r="L60" s="22"/>
    </row>
    <row r="61" spans="1:12">
      <c r="A61" s="28" t="s">
        <v>49</v>
      </c>
      <c r="B61" s="39">
        <v>0</v>
      </c>
      <c r="C61" s="22">
        <v>100</v>
      </c>
      <c r="D61" s="30">
        <f t="shared" si="5"/>
        <v>0</v>
      </c>
      <c r="E61" s="22"/>
      <c r="F61" s="22"/>
      <c r="G61" s="22"/>
      <c r="H61" s="22"/>
      <c r="I61" s="22"/>
      <c r="J61" s="22"/>
      <c r="K61" s="22"/>
      <c r="L61" s="22"/>
    </row>
    <row r="62" spans="1:12">
      <c r="A62" s="28" t="s">
        <v>63</v>
      </c>
      <c r="B62" s="39">
        <v>0</v>
      </c>
      <c r="C62" s="22">
        <v>117.5</v>
      </c>
      <c r="D62" s="30">
        <f t="shared" ref="D62:D69" si="6">B62*C62</f>
        <v>0</v>
      </c>
      <c r="E62" s="22"/>
      <c r="F62" s="22"/>
      <c r="G62" s="22"/>
      <c r="H62" s="22"/>
      <c r="I62" s="22"/>
      <c r="J62" s="22"/>
      <c r="K62" s="22"/>
      <c r="L62" s="22"/>
    </row>
    <row r="63" spans="1:12">
      <c r="A63" s="28" t="s">
        <v>55</v>
      </c>
      <c r="B63" s="39">
        <v>0</v>
      </c>
      <c r="C63" s="22">
        <v>125</v>
      </c>
      <c r="D63" s="30">
        <f t="shared" si="6"/>
        <v>0</v>
      </c>
      <c r="E63" s="22"/>
      <c r="F63" s="22"/>
      <c r="G63" s="22"/>
      <c r="H63" s="22"/>
      <c r="I63" s="22"/>
      <c r="J63" s="22"/>
      <c r="K63" s="22"/>
      <c r="L63" s="22"/>
    </row>
    <row r="64" spans="1:12">
      <c r="A64" s="28" t="s">
        <v>59</v>
      </c>
      <c r="B64" s="39">
        <v>0</v>
      </c>
      <c r="C64" s="22">
        <v>142.5</v>
      </c>
      <c r="D64" s="30">
        <f t="shared" si="6"/>
        <v>0</v>
      </c>
      <c r="E64" s="22"/>
      <c r="F64" s="22"/>
      <c r="G64" s="22"/>
      <c r="H64" s="22"/>
      <c r="I64" s="22"/>
      <c r="J64" s="22"/>
      <c r="K64" s="22"/>
      <c r="L64" s="22"/>
    </row>
    <row r="65" spans="1:12">
      <c r="A65" s="28" t="s">
        <v>67</v>
      </c>
      <c r="B65" s="39">
        <v>0</v>
      </c>
      <c r="C65" s="22">
        <v>150</v>
      </c>
      <c r="D65" s="30">
        <f t="shared" si="6"/>
        <v>0</v>
      </c>
      <c r="E65" s="22"/>
      <c r="F65" s="22"/>
      <c r="G65" s="22"/>
      <c r="H65" s="22"/>
      <c r="I65" s="22"/>
      <c r="J65" s="22"/>
      <c r="K65" s="22"/>
      <c r="L65" s="22"/>
    </row>
    <row r="66" spans="1:12">
      <c r="A66" s="28" t="s">
        <v>105</v>
      </c>
      <c r="B66" s="39">
        <v>0</v>
      </c>
      <c r="C66" s="22">
        <v>157.5</v>
      </c>
      <c r="D66" s="30">
        <f t="shared" si="6"/>
        <v>0</v>
      </c>
      <c r="E66" s="22"/>
      <c r="F66" s="22"/>
      <c r="G66" s="22"/>
      <c r="H66" s="22"/>
      <c r="I66" s="22"/>
      <c r="J66" s="22"/>
      <c r="K66" s="22"/>
      <c r="L66" s="22"/>
    </row>
    <row r="67" spans="1:12">
      <c r="A67" s="28" t="s">
        <v>106</v>
      </c>
      <c r="B67" s="39">
        <v>0</v>
      </c>
      <c r="C67" s="22">
        <v>162.5</v>
      </c>
      <c r="D67" s="30">
        <f t="shared" si="6"/>
        <v>0</v>
      </c>
      <c r="E67" s="22"/>
      <c r="F67" s="22"/>
      <c r="G67" s="22"/>
      <c r="H67" s="22"/>
      <c r="I67" s="22"/>
      <c r="J67" s="22"/>
      <c r="K67" s="22"/>
      <c r="L67" s="22"/>
    </row>
    <row r="68" spans="1:12">
      <c r="A68" s="28" t="s">
        <v>139</v>
      </c>
      <c r="B68" s="39">
        <v>0</v>
      </c>
      <c r="C68" s="22">
        <v>172.5</v>
      </c>
      <c r="D68" s="30">
        <f t="shared" si="6"/>
        <v>0</v>
      </c>
      <c r="E68" s="22"/>
      <c r="F68" s="22"/>
      <c r="G68" s="22"/>
      <c r="H68" s="22"/>
      <c r="I68" s="22"/>
      <c r="J68" s="22"/>
      <c r="K68" s="22"/>
      <c r="L68" s="22"/>
    </row>
    <row r="69" spans="1:12">
      <c r="A69" s="28" t="s">
        <v>138</v>
      </c>
      <c r="B69" s="39">
        <v>0</v>
      </c>
      <c r="C69" s="22">
        <v>180</v>
      </c>
      <c r="D69" s="30">
        <f t="shared" si="6"/>
        <v>0</v>
      </c>
      <c r="E69" s="22"/>
      <c r="F69" s="22"/>
      <c r="G69" s="22"/>
      <c r="H69" s="22"/>
      <c r="I69" s="22"/>
      <c r="J69" s="22"/>
      <c r="K69" s="22"/>
      <c r="L69" s="22"/>
    </row>
    <row r="70" spans="1:12">
      <c r="A70" s="22"/>
      <c r="B70" s="34" t="s">
        <v>104</v>
      </c>
      <c r="C70" s="22"/>
      <c r="D70" s="34" t="s">
        <v>103</v>
      </c>
      <c r="E70" s="22"/>
      <c r="F70" s="22"/>
      <c r="G70" s="22"/>
      <c r="H70" s="22"/>
      <c r="I70" s="22"/>
      <c r="J70" s="22"/>
      <c r="K70" s="22"/>
      <c r="L70" s="22"/>
    </row>
    <row r="71" spans="1:12">
      <c r="A71" s="22"/>
      <c r="B71" s="31">
        <f>SUM(B56:B69)</f>
        <v>0</v>
      </c>
      <c r="C71" s="31"/>
      <c r="D71" s="31">
        <f>SUM(D56:D69)</f>
        <v>0</v>
      </c>
      <c r="E71" s="22"/>
      <c r="F71" s="22"/>
      <c r="G71" s="22"/>
      <c r="H71" s="22"/>
      <c r="I71" s="22"/>
      <c r="J71" s="22"/>
      <c r="K71" s="22"/>
      <c r="L71" s="22"/>
    </row>
    <row r="72" spans="1:12">
      <c r="A72" s="22"/>
      <c r="B72" s="22"/>
      <c r="C72" s="22"/>
      <c r="D72" s="22"/>
      <c r="E72" s="22"/>
      <c r="F72" s="22"/>
      <c r="G72" s="22"/>
      <c r="H72" s="22"/>
      <c r="I72" s="22"/>
      <c r="J72" s="22"/>
      <c r="K72" s="22"/>
      <c r="L72" s="22"/>
    </row>
    <row r="73" spans="1:12">
      <c r="A73" s="22"/>
      <c r="B73" s="22"/>
      <c r="C73" s="22"/>
      <c r="D73" s="22"/>
      <c r="E73" s="22"/>
      <c r="F73" s="22"/>
      <c r="G73" s="22"/>
      <c r="H73" s="22"/>
      <c r="I73" s="22"/>
      <c r="J73" s="22"/>
      <c r="K73" s="22"/>
      <c r="L73" s="22"/>
    </row>
    <row r="74" spans="1:12">
      <c r="A74" s="22"/>
      <c r="B74" s="22"/>
      <c r="C74" s="22"/>
      <c r="D74" s="22"/>
      <c r="E74" s="22"/>
      <c r="F74" s="22"/>
      <c r="G74" s="22"/>
      <c r="H74" s="22"/>
      <c r="I74" s="22"/>
      <c r="J74" s="22"/>
      <c r="K74" s="22"/>
      <c r="L74" s="22"/>
    </row>
    <row r="75" spans="1:12">
      <c r="A75" s="22"/>
      <c r="B75" s="22"/>
      <c r="C75" s="22"/>
      <c r="D75" s="22"/>
      <c r="E75" s="22"/>
      <c r="F75" s="22"/>
      <c r="G75" s="22"/>
      <c r="H75" s="22"/>
      <c r="I75" s="22"/>
      <c r="J75" s="22"/>
      <c r="K75" s="22"/>
      <c r="L75" s="22"/>
    </row>
    <row r="76" spans="1:12">
      <c r="A76" s="22"/>
      <c r="B76" s="22"/>
      <c r="C76" s="22"/>
      <c r="D76" s="22"/>
      <c r="E76" s="22"/>
      <c r="F76" s="22"/>
      <c r="G76" s="22"/>
      <c r="H76" s="22"/>
      <c r="I76" s="22"/>
      <c r="J76" s="22"/>
      <c r="K76" s="22"/>
      <c r="L76" s="22"/>
    </row>
    <row r="77" spans="1:12">
      <c r="A77" s="22"/>
      <c r="B77" s="22"/>
      <c r="C77" s="22"/>
      <c r="D77" s="22"/>
      <c r="E77" s="22"/>
      <c r="F77" s="22"/>
      <c r="G77" s="22"/>
      <c r="H77" s="22"/>
      <c r="I77" s="22"/>
      <c r="J77" s="22"/>
      <c r="K77" s="22"/>
      <c r="L77" s="22"/>
    </row>
    <row r="78" spans="1:12">
      <c r="A78" s="22"/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</row>
    <row r="79" spans="1:12">
      <c r="A79" s="22"/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</row>
    <row r="80" spans="1:12">
      <c r="A80" s="22"/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</row>
    <row r="81" spans="1:12">
      <c r="A81" s="22"/>
      <c r="B81" s="22"/>
      <c r="C81" s="22"/>
      <c r="D81" s="22"/>
      <c r="E81" s="22"/>
      <c r="F81" s="22"/>
      <c r="G81" s="22"/>
      <c r="H81" s="22"/>
      <c r="I81" s="22"/>
      <c r="J81" s="22"/>
      <c r="K81" s="22"/>
      <c r="L81" s="22"/>
    </row>
    <row r="82" spans="1:12">
      <c r="A82" s="22"/>
      <c r="B82" s="22"/>
      <c r="C82" s="22"/>
      <c r="D82" s="22"/>
      <c r="E82" s="22"/>
      <c r="F82" s="22"/>
      <c r="G82" s="22"/>
      <c r="H82" s="22"/>
      <c r="I82" s="22"/>
      <c r="J82" s="22"/>
      <c r="K82" s="22"/>
      <c r="L82" s="22"/>
    </row>
  </sheetData>
  <conditionalFormatting sqref="I10:I24 E30:E32 E34 G30:G32 G35 D50:E50 D42:E48">
    <cfRule type="cellIs" dxfId="36" priority="4" operator="greaterThan">
      <formula>-1</formula>
    </cfRule>
  </conditionalFormatting>
  <conditionalFormatting sqref="I10:I24 E30:E32 E34 G30:G32 G35 D50:E50 D42:E48">
    <cfRule type="cellIs" dxfId="35" priority="3" operator="lessThanOrEqual">
      <formula>-1</formula>
    </cfRule>
  </conditionalFormatting>
  <conditionalFormatting sqref="K10:K24">
    <cfRule type="cellIs" dxfId="34" priority="1" operator="greaterThan">
      <formula>0</formula>
    </cfRule>
    <cfRule type="cellIs" dxfId="33" priority="2" operator="lessThanOrEqual">
      <formula>0</formula>
    </cfRule>
  </conditionalFormatting>
  <pageMargins left="0.75" right="0.75" top="1" bottom="1" header="0.5" footer="0.5"/>
  <ignoredErrors>
    <ignoredError sqref="E22" formula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workbookViewId="0">
      <selection activeCell="E18" sqref="E18"/>
    </sheetView>
  </sheetViews>
  <sheetFormatPr baseColWidth="10" defaultRowHeight="15" x14ac:dyDescent="0"/>
  <cols>
    <col min="3" max="3" width="12.1640625" bestFit="1" customWidth="1"/>
    <col min="5" max="5" width="12.83203125" bestFit="1" customWidth="1"/>
  </cols>
  <sheetData>
    <row r="1" spans="1:6" ht="25">
      <c r="F1" s="20" t="s">
        <v>19</v>
      </c>
    </row>
    <row r="2" spans="1:6">
      <c r="F2" s="21" t="s">
        <v>221</v>
      </c>
    </row>
    <row r="3" spans="1:6" ht="25">
      <c r="A3" s="8" t="s">
        <v>92</v>
      </c>
      <c r="F3" s="6"/>
    </row>
    <row r="4" spans="1:6">
      <c r="A4" s="4" t="s">
        <v>44</v>
      </c>
      <c r="B4" s="1" t="s">
        <v>93</v>
      </c>
      <c r="C4" s="1" t="s">
        <v>98</v>
      </c>
      <c r="D4" s="1" t="s">
        <v>94</v>
      </c>
      <c r="E4" s="1" t="s">
        <v>95</v>
      </c>
      <c r="F4" s="1" t="s">
        <v>27</v>
      </c>
    </row>
    <row r="5" spans="1:6">
      <c r="A5" s="22">
        <v>785</v>
      </c>
      <c r="B5" s="22">
        <v>900</v>
      </c>
      <c r="C5" s="22">
        <v>10</v>
      </c>
      <c r="D5" s="29">
        <f t="shared" ref="D5:D16" si="0">A5*B5</f>
        <v>706500</v>
      </c>
      <c r="E5" s="29">
        <v>1075950</v>
      </c>
      <c r="F5" s="29">
        <f>E5-D5</f>
        <v>369450</v>
      </c>
    </row>
    <row r="6" spans="1:6">
      <c r="A6" s="22">
        <v>3569</v>
      </c>
      <c r="B6" s="22">
        <v>700</v>
      </c>
      <c r="C6" s="22">
        <v>7</v>
      </c>
      <c r="D6" s="29">
        <f t="shared" si="0"/>
        <v>2498300</v>
      </c>
      <c r="E6" s="29">
        <v>3264000</v>
      </c>
      <c r="F6" s="29">
        <f>E6-D6</f>
        <v>765700</v>
      </c>
    </row>
    <row r="7" spans="1:6">
      <c r="A7" s="22">
        <v>1010</v>
      </c>
      <c r="B7" s="22">
        <v>800</v>
      </c>
      <c r="C7" s="22">
        <v>11</v>
      </c>
      <c r="D7" s="29">
        <f t="shared" si="0"/>
        <v>808000</v>
      </c>
      <c r="E7" s="29">
        <v>1229090</v>
      </c>
      <c r="F7" s="29">
        <f>E7-D7</f>
        <v>421090</v>
      </c>
    </row>
    <row r="8" spans="1:6">
      <c r="A8" s="22">
        <v>1097</v>
      </c>
      <c r="B8" s="22">
        <v>820</v>
      </c>
      <c r="C8" s="22">
        <v>11</v>
      </c>
      <c r="D8" s="29">
        <f t="shared" si="0"/>
        <v>899540</v>
      </c>
      <c r="E8" s="29">
        <v>1225650</v>
      </c>
      <c r="F8" s="29">
        <f t="shared" ref="F8:F16" si="1">E8-D8</f>
        <v>326110</v>
      </c>
    </row>
    <row r="9" spans="1:6">
      <c r="A9" s="22">
        <v>355</v>
      </c>
      <c r="B9" s="22">
        <v>850</v>
      </c>
      <c r="C9" s="22">
        <v>12</v>
      </c>
      <c r="D9" s="29">
        <f t="shared" si="0"/>
        <v>301750</v>
      </c>
      <c r="E9" s="29">
        <v>420740</v>
      </c>
      <c r="F9" s="29">
        <f t="shared" si="1"/>
        <v>118990</v>
      </c>
    </row>
    <row r="10" spans="1:6">
      <c r="A10" s="22">
        <v>149</v>
      </c>
      <c r="B10" s="22">
        <v>700</v>
      </c>
      <c r="C10" s="22">
        <v>11</v>
      </c>
      <c r="D10" s="29">
        <f t="shared" si="0"/>
        <v>104300</v>
      </c>
      <c r="E10" s="29">
        <v>343410</v>
      </c>
      <c r="F10" s="29">
        <f t="shared" si="1"/>
        <v>239110</v>
      </c>
    </row>
    <row r="11" spans="1:6">
      <c r="A11" s="22">
        <v>1356</v>
      </c>
      <c r="B11" s="22">
        <v>800</v>
      </c>
      <c r="C11" s="22">
        <v>11</v>
      </c>
      <c r="D11" s="29">
        <f t="shared" si="0"/>
        <v>1084800</v>
      </c>
      <c r="E11" s="29">
        <v>1597210</v>
      </c>
      <c r="F11" s="29">
        <f t="shared" si="1"/>
        <v>512410</v>
      </c>
    </row>
    <row r="12" spans="1:6">
      <c r="A12" s="22">
        <v>187</v>
      </c>
      <c r="B12" s="22">
        <v>775</v>
      </c>
      <c r="C12" s="22">
        <v>11</v>
      </c>
      <c r="D12" s="29">
        <f t="shared" si="0"/>
        <v>144925</v>
      </c>
      <c r="E12" s="29">
        <v>190800</v>
      </c>
      <c r="F12" s="29">
        <f t="shared" si="1"/>
        <v>45875</v>
      </c>
    </row>
    <row r="13" spans="1:6">
      <c r="A13" s="22">
        <v>1304</v>
      </c>
      <c r="B13" s="22">
        <v>700</v>
      </c>
      <c r="C13" s="22">
        <v>12</v>
      </c>
      <c r="D13" s="29">
        <f t="shared" si="0"/>
        <v>912800</v>
      </c>
      <c r="E13" s="29">
        <v>808825</v>
      </c>
      <c r="F13" s="29">
        <f t="shared" si="1"/>
        <v>-103975</v>
      </c>
    </row>
    <row r="14" spans="1:6">
      <c r="A14" s="22">
        <v>10225</v>
      </c>
      <c r="B14" s="22">
        <v>650</v>
      </c>
      <c r="C14" s="22">
        <v>12</v>
      </c>
      <c r="D14" s="29">
        <f t="shared" si="0"/>
        <v>6646250</v>
      </c>
      <c r="E14" s="29">
        <v>9342750</v>
      </c>
      <c r="F14" s="29">
        <f t="shared" si="1"/>
        <v>2696500</v>
      </c>
    </row>
    <row r="15" spans="1:6">
      <c r="A15" s="22">
        <v>7844</v>
      </c>
      <c r="B15" s="22">
        <v>650</v>
      </c>
      <c r="C15" s="22">
        <v>12</v>
      </c>
      <c r="D15" s="29">
        <f t="shared" si="0"/>
        <v>5098600</v>
      </c>
      <c r="E15" s="29">
        <v>6945300</v>
      </c>
      <c r="F15" s="29">
        <f t="shared" si="1"/>
        <v>1846700</v>
      </c>
    </row>
    <row r="16" spans="1:6">
      <c r="A16" s="22">
        <v>15342</v>
      </c>
      <c r="B16" s="22">
        <v>600</v>
      </c>
      <c r="C16" s="22">
        <v>11</v>
      </c>
      <c r="D16" s="29">
        <f t="shared" si="0"/>
        <v>9205200</v>
      </c>
      <c r="E16" s="29">
        <v>12550000</v>
      </c>
      <c r="F16" s="29">
        <f t="shared" si="1"/>
        <v>3344800</v>
      </c>
    </row>
    <row r="17" spans="1:6">
      <c r="E17" s="1" t="s">
        <v>99</v>
      </c>
      <c r="F17" s="6">
        <f>SUM(F5:F16)</f>
        <v>10582760</v>
      </c>
    </row>
    <row r="21" spans="1:6" ht="25">
      <c r="A21" s="17" t="s">
        <v>96</v>
      </c>
    </row>
    <row r="23" spans="1:6">
      <c r="A23" s="1" t="s">
        <v>29</v>
      </c>
      <c r="B23" s="1" t="s">
        <v>44</v>
      </c>
      <c r="C23" s="1" t="s">
        <v>79</v>
      </c>
      <c r="D23" s="1" t="s">
        <v>94</v>
      </c>
    </row>
    <row r="25" spans="1:6">
      <c r="A25" s="28" t="s">
        <v>81</v>
      </c>
      <c r="B25" s="23">
        <v>0</v>
      </c>
      <c r="C25" s="29">
        <f>Database!B5</f>
        <v>300</v>
      </c>
      <c r="D25" s="29">
        <f>B25*C25</f>
        <v>0</v>
      </c>
    </row>
    <row r="26" spans="1:6">
      <c r="A26" s="28" t="s">
        <v>82</v>
      </c>
      <c r="B26" s="23">
        <v>0</v>
      </c>
      <c r="C26" s="29">
        <f>Database!B6</f>
        <v>80</v>
      </c>
      <c r="D26" s="29">
        <f t="shared" ref="D26:D38" si="2">B26*C26</f>
        <v>0</v>
      </c>
    </row>
    <row r="27" spans="1:6">
      <c r="A27" s="28" t="s">
        <v>83</v>
      </c>
      <c r="B27" s="23">
        <v>0</v>
      </c>
      <c r="C27" s="29">
        <f>Database!B7</f>
        <v>90</v>
      </c>
      <c r="D27" s="29">
        <f t="shared" si="2"/>
        <v>0</v>
      </c>
    </row>
    <row r="28" spans="1:6">
      <c r="A28" s="28" t="s">
        <v>84</v>
      </c>
      <c r="B28" s="23">
        <v>1090</v>
      </c>
      <c r="C28" s="29">
        <f>Database!B8</f>
        <v>950</v>
      </c>
      <c r="D28" s="29">
        <f t="shared" si="2"/>
        <v>1035500</v>
      </c>
    </row>
    <row r="29" spans="1:6">
      <c r="A29" s="28" t="s">
        <v>36</v>
      </c>
      <c r="B29" s="23">
        <v>846</v>
      </c>
      <c r="C29" s="29">
        <f>Database!B9</f>
        <v>7900</v>
      </c>
      <c r="D29" s="29">
        <f t="shared" si="2"/>
        <v>6683400</v>
      </c>
    </row>
    <row r="30" spans="1:6">
      <c r="A30" s="28" t="s">
        <v>85</v>
      </c>
      <c r="B30" s="23">
        <v>0</v>
      </c>
      <c r="C30" s="29">
        <f>Database!B10</f>
        <v>2000</v>
      </c>
      <c r="D30" s="29">
        <f t="shared" si="2"/>
        <v>0</v>
      </c>
    </row>
    <row r="31" spans="1:6">
      <c r="A31" s="28" t="s">
        <v>50</v>
      </c>
      <c r="B31" s="23">
        <v>630</v>
      </c>
      <c r="C31" s="29">
        <f>Database!B11</f>
        <v>1050</v>
      </c>
      <c r="D31" s="29">
        <f t="shared" si="2"/>
        <v>661500</v>
      </c>
    </row>
    <row r="32" spans="1:6">
      <c r="A32" s="28" t="s">
        <v>64</v>
      </c>
      <c r="B32" s="23">
        <v>482</v>
      </c>
      <c r="C32" s="29">
        <f>Database!B12</f>
        <v>1700</v>
      </c>
      <c r="D32" s="29">
        <f t="shared" si="2"/>
        <v>819400</v>
      </c>
    </row>
    <row r="33" spans="1:4">
      <c r="A33" s="28" t="s">
        <v>56</v>
      </c>
      <c r="B33" s="23">
        <v>385</v>
      </c>
      <c r="C33" s="29">
        <f>Database!B13</f>
        <v>1350</v>
      </c>
      <c r="D33" s="29">
        <f t="shared" si="2"/>
        <v>519750</v>
      </c>
    </row>
    <row r="34" spans="1:4">
      <c r="A34" s="28" t="s">
        <v>60</v>
      </c>
      <c r="B34" s="23">
        <v>0</v>
      </c>
      <c r="C34" s="29">
        <f>Database!B14</f>
        <v>9500</v>
      </c>
      <c r="D34" s="29">
        <f t="shared" si="2"/>
        <v>0</v>
      </c>
    </row>
    <row r="35" spans="1:4">
      <c r="A35" s="28" t="s">
        <v>68</v>
      </c>
      <c r="B35" s="23">
        <v>295</v>
      </c>
      <c r="C35" s="29">
        <f>Database!B15</f>
        <v>650</v>
      </c>
      <c r="D35" s="29">
        <f t="shared" si="2"/>
        <v>191750</v>
      </c>
    </row>
    <row r="36" spans="1:4">
      <c r="A36" s="28" t="s">
        <v>86</v>
      </c>
      <c r="B36" s="23">
        <v>225</v>
      </c>
      <c r="C36" s="29">
        <f>Database!B16</f>
        <v>875</v>
      </c>
      <c r="D36" s="29">
        <f t="shared" si="2"/>
        <v>196875</v>
      </c>
    </row>
    <row r="37" spans="1:4">
      <c r="A37" s="28" t="s">
        <v>87</v>
      </c>
      <c r="B37" s="23">
        <v>237</v>
      </c>
      <c r="C37" s="29">
        <f>Database!B17</f>
        <v>2000</v>
      </c>
      <c r="D37" s="29">
        <f t="shared" si="2"/>
        <v>474000</v>
      </c>
    </row>
    <row r="38" spans="1:4">
      <c r="A38" s="28" t="s">
        <v>88</v>
      </c>
      <c r="B38" s="23">
        <v>0</v>
      </c>
      <c r="C38" s="29">
        <f>Database!B18</f>
        <v>2200</v>
      </c>
      <c r="D38" s="29">
        <f t="shared" si="2"/>
        <v>0</v>
      </c>
    </row>
    <row r="39" spans="1:4">
      <c r="A39" s="1"/>
      <c r="C39" s="6"/>
      <c r="D39" s="6"/>
    </row>
    <row r="40" spans="1:4">
      <c r="A40" s="1" t="s">
        <v>89</v>
      </c>
      <c r="B40" s="22">
        <f>B25+B26+B27+B28+B29+B30+B31+B32+B33+B34+B35+B36+B37+B38</f>
        <v>4190</v>
      </c>
      <c r="C40" s="6"/>
      <c r="D40" s="6">
        <f>D25+D26+D27+D28+D29+D30+D31+D32+D33+D34+D35+D36+D37+D38</f>
        <v>10582175</v>
      </c>
    </row>
    <row r="41" spans="1:4">
      <c r="C41" s="1" t="s">
        <v>136</v>
      </c>
      <c r="D41" s="37">
        <v>0</v>
      </c>
    </row>
    <row r="42" spans="1:4">
      <c r="C42" s="1" t="s">
        <v>73</v>
      </c>
      <c r="D42" s="9">
        <f>D40-D41</f>
        <v>10582175</v>
      </c>
    </row>
  </sheetData>
  <conditionalFormatting sqref="D42">
    <cfRule type="cellIs" dxfId="32" priority="4" operator="greaterThan">
      <formula>0</formula>
    </cfRule>
    <cfRule type="cellIs" dxfId="31" priority="5" operator="lessThan">
      <formula>0</formula>
    </cfRule>
  </conditionalFormatting>
  <conditionalFormatting sqref="D41">
    <cfRule type="cellIs" dxfId="30" priority="3" operator="greaterThan">
      <formula>-1</formula>
    </cfRule>
  </conditionalFormatting>
  <conditionalFormatting sqref="F5:F17">
    <cfRule type="cellIs" dxfId="29" priority="1" operator="lessThanOrEqual">
      <formula>-1</formula>
    </cfRule>
    <cfRule type="cellIs" dxfId="28" priority="2" operator="greaterThan">
      <formula>-1</formula>
    </cfRule>
  </conditionalFormatting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topLeftCell="A5" workbookViewId="0">
      <selection activeCell="D19" sqref="D19"/>
    </sheetView>
  </sheetViews>
  <sheetFormatPr baseColWidth="10" defaultRowHeight="15" x14ac:dyDescent="0"/>
  <cols>
    <col min="1" max="1" width="15.33203125" customWidth="1"/>
    <col min="2" max="3" width="12.6640625" bestFit="1" customWidth="1"/>
    <col min="4" max="6" width="13.1640625" bestFit="1" customWidth="1"/>
    <col min="7" max="7" width="14.83203125" bestFit="1" customWidth="1"/>
  </cols>
  <sheetData>
    <row r="1" spans="1:8" ht="25">
      <c r="F1" s="20" t="s">
        <v>19</v>
      </c>
    </row>
    <row r="2" spans="1:8">
      <c r="F2" s="21" t="s">
        <v>221</v>
      </c>
    </row>
    <row r="3" spans="1:8" ht="25">
      <c r="A3" s="17" t="s">
        <v>205</v>
      </c>
    </row>
    <row r="5" spans="1:8">
      <c r="A5" s="10" t="s">
        <v>206</v>
      </c>
    </row>
    <row r="6" spans="1:8">
      <c r="A6" s="10" t="s">
        <v>207</v>
      </c>
    </row>
    <row r="7" spans="1:8">
      <c r="A7" s="10" t="s">
        <v>339</v>
      </c>
    </row>
    <row r="8" spans="1:8">
      <c r="A8" s="10" t="s">
        <v>340</v>
      </c>
    </row>
    <row r="11" spans="1:8">
      <c r="A11" s="1" t="s">
        <v>216</v>
      </c>
      <c r="B11" s="47">
        <v>19</v>
      </c>
      <c r="C11" s="1" t="s">
        <v>341</v>
      </c>
    </row>
    <row r="13" spans="1:8">
      <c r="A13" s="1" t="s">
        <v>22</v>
      </c>
      <c r="B13" s="1" t="s">
        <v>26</v>
      </c>
      <c r="C13" s="1" t="s">
        <v>208</v>
      </c>
      <c r="D13" s="1" t="s">
        <v>209</v>
      </c>
      <c r="E13" s="1" t="s">
        <v>210</v>
      </c>
      <c r="F13" s="1" t="s">
        <v>212</v>
      </c>
      <c r="G13" s="1" t="s">
        <v>211</v>
      </c>
      <c r="H13" s="1" t="s">
        <v>213</v>
      </c>
    </row>
    <row r="15" spans="1:8">
      <c r="A15" s="28" t="s">
        <v>46</v>
      </c>
      <c r="B15" s="22">
        <f>Database!E5</f>
        <v>40</v>
      </c>
      <c r="C15" s="22">
        <f>Database!F5</f>
        <v>125</v>
      </c>
      <c r="D15" s="35">
        <f>B15/3</f>
        <v>13.333333333333334</v>
      </c>
      <c r="E15" s="35">
        <f>C15/4</f>
        <v>31.25</v>
      </c>
      <c r="F15" s="31">
        <f>G15/28</f>
        <v>53.75</v>
      </c>
      <c r="G15" s="31">
        <f t="shared" ref="G15:G29" si="0">(E15*4*21)-(D15*3*28)</f>
        <v>1505</v>
      </c>
      <c r="H15" s="31">
        <f>((60/B11)*60)*G15</f>
        <v>285157.89473684214</v>
      </c>
    </row>
    <row r="16" spans="1:8">
      <c r="A16" s="28" t="s">
        <v>23</v>
      </c>
      <c r="B16" s="22">
        <f>Database!E6</f>
        <v>800</v>
      </c>
      <c r="C16" s="22">
        <f>Database!F6</f>
        <v>1150</v>
      </c>
      <c r="D16" s="35">
        <f t="shared" ref="D16:D29" si="1">B16/3</f>
        <v>266.66666666666669</v>
      </c>
      <c r="E16" s="35">
        <f t="shared" ref="E16:E29" si="2">C16/4</f>
        <v>287.5</v>
      </c>
      <c r="F16" s="31">
        <f t="shared" ref="F16:F29" si="3">G16/28</f>
        <v>62.5</v>
      </c>
      <c r="G16" s="31">
        <f t="shared" si="0"/>
        <v>1750</v>
      </c>
      <c r="H16" s="31">
        <f>((60/B11)*60)*G16</f>
        <v>331578.94736842107</v>
      </c>
    </row>
    <row r="17" spans="1:8">
      <c r="A17" s="28" t="s">
        <v>39</v>
      </c>
      <c r="B17" s="22">
        <f>Database!E7</f>
        <v>400</v>
      </c>
      <c r="C17" s="22">
        <f>Database!F7</f>
        <v>1000</v>
      </c>
      <c r="D17" s="35">
        <f t="shared" si="1"/>
        <v>133.33333333333334</v>
      </c>
      <c r="E17" s="35">
        <f t="shared" si="2"/>
        <v>250</v>
      </c>
      <c r="F17" s="31">
        <f t="shared" si="3"/>
        <v>350</v>
      </c>
      <c r="G17" s="31">
        <f t="shared" si="0"/>
        <v>9800</v>
      </c>
      <c r="H17" s="31">
        <f>((60/B11)*60)*G17</f>
        <v>1856842.105263158</v>
      </c>
    </row>
    <row r="18" spans="1:8">
      <c r="A18" s="28" t="s">
        <v>31</v>
      </c>
      <c r="B18" s="22">
        <f>Database!E8</f>
        <v>800</v>
      </c>
      <c r="C18" s="22">
        <f>Database!F8</f>
        <v>1000</v>
      </c>
      <c r="D18" s="35">
        <f t="shared" si="1"/>
        <v>266.66666666666669</v>
      </c>
      <c r="E18" s="35">
        <f t="shared" si="2"/>
        <v>250</v>
      </c>
      <c r="F18" s="31">
        <f t="shared" si="3"/>
        <v>-50</v>
      </c>
      <c r="G18" s="31">
        <f t="shared" si="0"/>
        <v>-1400</v>
      </c>
      <c r="H18" s="31">
        <f>((60/B11)*60)*G18</f>
        <v>-265263.15789473685</v>
      </c>
    </row>
    <row r="19" spans="1:8">
      <c r="A19" s="28" t="s">
        <v>35</v>
      </c>
      <c r="B19" s="22">
        <f>Database!E9</f>
        <v>8100</v>
      </c>
      <c r="C19" s="22">
        <f>Database!F9</f>
        <v>12100</v>
      </c>
      <c r="D19" s="35">
        <f t="shared" si="1"/>
        <v>2700</v>
      </c>
      <c r="E19" s="35">
        <f t="shared" si="2"/>
        <v>3025</v>
      </c>
      <c r="F19" s="31">
        <f t="shared" si="3"/>
        <v>975</v>
      </c>
      <c r="G19" s="31">
        <f t="shared" si="0"/>
        <v>27300</v>
      </c>
      <c r="H19" s="31">
        <f>((60/B11)*60)*G19</f>
        <v>5172631.578947369</v>
      </c>
    </row>
    <row r="20" spans="1:8">
      <c r="A20" s="28" t="s">
        <v>49</v>
      </c>
      <c r="B20" s="22">
        <f>Database!E10</f>
        <v>950</v>
      </c>
      <c r="C20" s="22">
        <f>Database!F10</f>
        <v>1200</v>
      </c>
      <c r="D20" s="35">
        <f t="shared" si="1"/>
        <v>316.66666666666669</v>
      </c>
      <c r="E20" s="35">
        <f t="shared" si="2"/>
        <v>300</v>
      </c>
      <c r="F20" s="31">
        <f t="shared" si="3"/>
        <v>-50</v>
      </c>
      <c r="G20" s="31">
        <f t="shared" si="0"/>
        <v>-1400</v>
      </c>
      <c r="H20" s="31">
        <f>((60/B11)*60)*G20</f>
        <v>-265263.15789473685</v>
      </c>
    </row>
    <row r="21" spans="1:8">
      <c r="A21" s="28" t="s">
        <v>204</v>
      </c>
      <c r="B21" s="22">
        <f>Database!E11</f>
        <v>2750</v>
      </c>
      <c r="C21" s="22">
        <f>Database!F11</f>
        <v>3900</v>
      </c>
      <c r="D21" s="35">
        <f t="shared" si="1"/>
        <v>916.66666666666663</v>
      </c>
      <c r="E21" s="35">
        <f t="shared" si="2"/>
        <v>975</v>
      </c>
      <c r="F21" s="31">
        <f t="shared" si="3"/>
        <v>175</v>
      </c>
      <c r="G21" s="31">
        <f t="shared" si="0"/>
        <v>4900</v>
      </c>
      <c r="H21" s="31">
        <f>((60/B11)*60)*G21</f>
        <v>928421.05263157899</v>
      </c>
    </row>
    <row r="22" spans="1:8">
      <c r="A22" s="28" t="s">
        <v>63</v>
      </c>
      <c r="B22" s="22">
        <f>Database!E12</f>
        <v>2000</v>
      </c>
      <c r="C22" s="22">
        <f>Database!F12</f>
        <v>3500</v>
      </c>
      <c r="D22" s="35">
        <f t="shared" si="1"/>
        <v>666.66666666666663</v>
      </c>
      <c r="E22" s="35">
        <f t="shared" si="2"/>
        <v>875</v>
      </c>
      <c r="F22" s="31">
        <f t="shared" si="3"/>
        <v>625</v>
      </c>
      <c r="G22" s="31">
        <f t="shared" si="0"/>
        <v>17500</v>
      </c>
      <c r="H22" s="31">
        <f>((60/B11)*60)*G22</f>
        <v>3315789.4736842108</v>
      </c>
    </row>
    <row r="23" spans="1:8">
      <c r="A23" s="28" t="s">
        <v>55</v>
      </c>
      <c r="B23" s="22">
        <f>Database!E13</f>
        <v>3300</v>
      </c>
      <c r="C23" s="22">
        <f>Database!F13</f>
        <v>4750</v>
      </c>
      <c r="D23" s="35">
        <f t="shared" si="1"/>
        <v>1100</v>
      </c>
      <c r="E23" s="35">
        <f t="shared" si="2"/>
        <v>1187.5</v>
      </c>
      <c r="F23" s="31">
        <f t="shared" si="3"/>
        <v>262.5</v>
      </c>
      <c r="G23" s="31">
        <f t="shared" si="0"/>
        <v>7350</v>
      </c>
      <c r="H23" s="31">
        <f>((60/B11)*60)*G23</f>
        <v>1392631.5789473685</v>
      </c>
    </row>
    <row r="24" spans="1:8">
      <c r="A24" s="28" t="s">
        <v>59</v>
      </c>
      <c r="B24" s="22">
        <f>Database!E14</f>
        <v>9750</v>
      </c>
      <c r="C24" s="22">
        <f>Database!F14</f>
        <v>14000</v>
      </c>
      <c r="D24" s="35">
        <f t="shared" si="1"/>
        <v>3250</v>
      </c>
      <c r="E24" s="35">
        <f t="shared" si="2"/>
        <v>3500</v>
      </c>
      <c r="F24" s="31">
        <f t="shared" si="3"/>
        <v>750</v>
      </c>
      <c r="G24" s="31">
        <f t="shared" si="0"/>
        <v>21000</v>
      </c>
      <c r="H24" s="31">
        <f>((60/B11)*60)*G24</f>
        <v>3978947.368421053</v>
      </c>
    </row>
    <row r="25" spans="1:8">
      <c r="A25" s="28" t="s">
        <v>67</v>
      </c>
      <c r="B25" s="22">
        <f>Database!E15</f>
        <v>1000</v>
      </c>
      <c r="C25" s="22">
        <f>Database!F15</f>
        <v>2000</v>
      </c>
      <c r="D25" s="35">
        <f t="shared" si="1"/>
        <v>333.33333333333331</v>
      </c>
      <c r="E25" s="35">
        <f t="shared" si="2"/>
        <v>500</v>
      </c>
      <c r="F25" s="31">
        <f t="shared" si="3"/>
        <v>500</v>
      </c>
      <c r="G25" s="31">
        <f t="shared" si="0"/>
        <v>14000</v>
      </c>
      <c r="H25" s="31">
        <f>((60/B11)*60)*G25</f>
        <v>2652631.5789473685</v>
      </c>
    </row>
    <row r="26" spans="1:8">
      <c r="A26" s="28" t="s">
        <v>105</v>
      </c>
      <c r="B26" s="22">
        <f>Database!E16</f>
        <v>1300</v>
      </c>
      <c r="C26" s="22">
        <f>Database!F16</f>
        <v>1750</v>
      </c>
      <c r="D26" s="35">
        <f t="shared" si="1"/>
        <v>433.33333333333331</v>
      </c>
      <c r="E26" s="35">
        <f t="shared" si="2"/>
        <v>437.5</v>
      </c>
      <c r="F26" s="31">
        <f t="shared" si="3"/>
        <v>12.5</v>
      </c>
      <c r="G26" s="31">
        <f t="shared" si="0"/>
        <v>350</v>
      </c>
      <c r="H26" s="31">
        <f>((60/B11)*60)*G26</f>
        <v>66315.789473684214</v>
      </c>
    </row>
    <row r="27" spans="1:8">
      <c r="A27" s="28" t="s">
        <v>106</v>
      </c>
      <c r="B27" s="22">
        <f>Database!E17</f>
        <v>3000</v>
      </c>
      <c r="C27" s="22">
        <f>Database!F17</f>
        <v>5000</v>
      </c>
      <c r="D27" s="35">
        <f t="shared" si="1"/>
        <v>1000</v>
      </c>
      <c r="E27" s="35">
        <f t="shared" si="2"/>
        <v>1250</v>
      </c>
      <c r="F27" s="31">
        <f t="shared" si="3"/>
        <v>750</v>
      </c>
      <c r="G27" s="31">
        <f t="shared" si="0"/>
        <v>21000</v>
      </c>
      <c r="H27" s="31">
        <f>((60/B11)*60)*G27</f>
        <v>3978947.368421053</v>
      </c>
    </row>
    <row r="28" spans="1:8">
      <c r="A28" s="28" t="s">
        <v>139</v>
      </c>
      <c r="B28" s="22">
        <f>Database!E18</f>
        <v>1800</v>
      </c>
      <c r="C28" s="22">
        <f>Database!F18</f>
        <v>2250</v>
      </c>
      <c r="D28" s="35">
        <f t="shared" si="1"/>
        <v>600</v>
      </c>
      <c r="E28" s="35">
        <f t="shared" si="2"/>
        <v>562.5</v>
      </c>
      <c r="F28" s="31">
        <f t="shared" si="3"/>
        <v>-112.5</v>
      </c>
      <c r="G28" s="31">
        <f t="shared" si="0"/>
        <v>-3150</v>
      </c>
      <c r="H28" s="31">
        <f>((60/B11)*60)*G28</f>
        <v>-596842.10526315798</v>
      </c>
    </row>
    <row r="29" spans="1:8">
      <c r="A29" s="28" t="s">
        <v>138</v>
      </c>
      <c r="B29" s="22">
        <f>Database!E19</f>
        <v>6500</v>
      </c>
      <c r="C29" s="22">
        <f>Database!F19</f>
        <v>10000</v>
      </c>
      <c r="D29" s="35">
        <f t="shared" si="1"/>
        <v>2166.6666666666665</v>
      </c>
      <c r="E29" s="35">
        <f t="shared" si="2"/>
        <v>2500</v>
      </c>
      <c r="F29" s="31">
        <f t="shared" si="3"/>
        <v>1000</v>
      </c>
      <c r="G29" s="31">
        <f t="shared" si="0"/>
        <v>28000</v>
      </c>
      <c r="H29" s="31">
        <f>((60/B11)*60)*G29</f>
        <v>5305263.1578947371</v>
      </c>
    </row>
    <row r="30" spans="1:8">
      <c r="A30" s="22"/>
      <c r="B30" s="22"/>
      <c r="C30" s="22"/>
      <c r="D30" s="22"/>
      <c r="E30" s="22"/>
      <c r="F30" s="22"/>
      <c r="G30" s="22"/>
      <c r="H30" s="22"/>
    </row>
    <row r="31" spans="1:8">
      <c r="A31" s="1" t="s">
        <v>214</v>
      </c>
    </row>
    <row r="32" spans="1:8">
      <c r="A32" t="s">
        <v>215</v>
      </c>
    </row>
    <row r="34" spans="1:6">
      <c r="A34" s="1" t="s">
        <v>217</v>
      </c>
      <c r="B34" s="47">
        <v>100</v>
      </c>
      <c r="C34" t="s">
        <v>218</v>
      </c>
      <c r="D34" t="s">
        <v>219</v>
      </c>
      <c r="E34" s="24">
        <f>(B34*3)/4</f>
        <v>75</v>
      </c>
      <c r="F34" t="s">
        <v>220</v>
      </c>
    </row>
  </sheetData>
  <conditionalFormatting sqref="F15:H29">
    <cfRule type="cellIs" dxfId="27" priority="1" operator="lessThanOrEqual">
      <formula>-1</formula>
    </cfRule>
    <cfRule type="cellIs" dxfId="26" priority="2" operator="greaterThan">
      <formula>-1</formula>
    </cfRule>
  </conditionalFormatting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topLeftCell="A22" workbookViewId="0">
      <selection activeCell="F50" sqref="F50"/>
    </sheetView>
  </sheetViews>
  <sheetFormatPr baseColWidth="10" defaultRowHeight="15" x14ac:dyDescent="0"/>
  <cols>
    <col min="1" max="1" width="14.6640625" customWidth="1"/>
    <col min="4" max="4" width="11.1640625" bestFit="1" customWidth="1"/>
    <col min="5" max="5" width="12.1640625" bestFit="1" customWidth="1"/>
    <col min="6" max="6" width="12.6640625" customWidth="1"/>
  </cols>
  <sheetData>
    <row r="1" spans="1:6" ht="25">
      <c r="F1" s="20" t="s">
        <v>19</v>
      </c>
    </row>
    <row r="2" spans="1:6">
      <c r="F2" s="21" t="s">
        <v>221</v>
      </c>
    </row>
    <row r="4" spans="1:6" ht="25">
      <c r="A4" s="17" t="s">
        <v>115</v>
      </c>
    </row>
    <row r="6" spans="1:6">
      <c r="A6" s="10" t="s">
        <v>116</v>
      </c>
      <c r="B6" s="10" t="s">
        <v>122</v>
      </c>
    </row>
    <row r="8" spans="1:6">
      <c r="A8" s="1" t="s">
        <v>117</v>
      </c>
      <c r="B8" s="1" t="s">
        <v>124</v>
      </c>
      <c r="C8" s="1" t="s">
        <v>101</v>
      </c>
      <c r="D8" s="1" t="s">
        <v>38</v>
      </c>
    </row>
    <row r="10" spans="1:6">
      <c r="A10" s="1" t="s">
        <v>118</v>
      </c>
      <c r="B10" s="14">
        <f>Database!B44</f>
        <v>700</v>
      </c>
      <c r="C10">
        <v>50</v>
      </c>
      <c r="D10" s="5">
        <f>-B10/C10</f>
        <v>-14</v>
      </c>
    </row>
    <row r="11" spans="1:6">
      <c r="A11" s="1" t="s">
        <v>119</v>
      </c>
      <c r="B11" s="14">
        <f>Database!B45</f>
        <v>1200</v>
      </c>
      <c r="C11">
        <v>67.5</v>
      </c>
      <c r="D11" s="5">
        <f t="shared" ref="D11:D14" si="0">-B11/C11</f>
        <v>-17.777777777777779</v>
      </c>
    </row>
    <row r="12" spans="1:6">
      <c r="A12" s="1" t="s">
        <v>120</v>
      </c>
      <c r="B12" s="14">
        <f>Database!B46</f>
        <v>1650</v>
      </c>
      <c r="C12">
        <v>85</v>
      </c>
      <c r="D12" s="5">
        <f t="shared" si="0"/>
        <v>-19.411764705882351</v>
      </c>
    </row>
    <row r="13" spans="1:6">
      <c r="A13" s="1" t="s">
        <v>121</v>
      </c>
      <c r="B13" s="14">
        <f>Database!B47</f>
        <v>5000</v>
      </c>
      <c r="C13">
        <v>107.5</v>
      </c>
      <c r="D13" s="5">
        <f t="shared" si="0"/>
        <v>-46.511627906976742</v>
      </c>
    </row>
    <row r="14" spans="1:6">
      <c r="A14" s="1" t="s">
        <v>126</v>
      </c>
      <c r="B14" s="14">
        <f>Database!B48</f>
        <v>86000</v>
      </c>
      <c r="C14">
        <v>137.5</v>
      </c>
      <c r="D14" s="5">
        <f t="shared" si="0"/>
        <v>-625.4545454545455</v>
      </c>
    </row>
    <row r="16" spans="1:6">
      <c r="A16" s="10" t="s">
        <v>116</v>
      </c>
      <c r="B16" s="10" t="s">
        <v>127</v>
      </c>
    </row>
    <row r="18" spans="1:6">
      <c r="A18" s="1" t="s">
        <v>117</v>
      </c>
      <c r="B18" s="1" t="s">
        <v>124</v>
      </c>
      <c r="C18" s="1" t="s">
        <v>125</v>
      </c>
      <c r="D18" s="1" t="s">
        <v>101</v>
      </c>
      <c r="E18" s="1" t="s">
        <v>27</v>
      </c>
      <c r="F18" s="1" t="s">
        <v>38</v>
      </c>
    </row>
    <row r="20" spans="1:6">
      <c r="A20" s="1" t="s">
        <v>118</v>
      </c>
      <c r="B20" s="6">
        <f>Database!B44</f>
        <v>700</v>
      </c>
      <c r="C20" s="6">
        <f>Database!C44</f>
        <v>200</v>
      </c>
      <c r="D20">
        <v>50</v>
      </c>
      <c r="E20" s="3">
        <f>C20-B20</f>
        <v>-500</v>
      </c>
      <c r="F20" s="5">
        <f>E20/D20</f>
        <v>-10</v>
      </c>
    </row>
    <row r="21" spans="1:6">
      <c r="A21" s="1" t="s">
        <v>119</v>
      </c>
      <c r="B21" s="6">
        <f>Database!B45</f>
        <v>1200</v>
      </c>
      <c r="C21" s="6">
        <f>Database!C45</f>
        <v>800</v>
      </c>
      <c r="D21">
        <v>67.5</v>
      </c>
      <c r="E21" s="3">
        <f t="shared" ref="E21:E24" si="1">C21-B21</f>
        <v>-400</v>
      </c>
      <c r="F21" s="5">
        <f t="shared" ref="F21:F24" si="2">E21/D21</f>
        <v>-5.9259259259259256</v>
      </c>
    </row>
    <row r="22" spans="1:6">
      <c r="A22" s="1" t="s">
        <v>120</v>
      </c>
      <c r="B22" s="6">
        <f>Database!B46</f>
        <v>1650</v>
      </c>
      <c r="C22" s="6">
        <f>Database!C46</f>
        <v>850</v>
      </c>
      <c r="D22">
        <v>85</v>
      </c>
      <c r="E22" s="3">
        <f t="shared" si="1"/>
        <v>-800</v>
      </c>
      <c r="F22" s="5">
        <f t="shared" si="2"/>
        <v>-9.4117647058823533</v>
      </c>
    </row>
    <row r="23" spans="1:6">
      <c r="A23" s="1" t="s">
        <v>121</v>
      </c>
      <c r="B23" s="6">
        <f>Database!B47</f>
        <v>5000</v>
      </c>
      <c r="C23" s="6">
        <f>Database!C47</f>
        <v>4000</v>
      </c>
      <c r="D23">
        <v>107.5</v>
      </c>
      <c r="E23" s="3">
        <f t="shared" si="1"/>
        <v>-1000</v>
      </c>
      <c r="F23" s="5">
        <f t="shared" si="2"/>
        <v>-9.3023255813953494</v>
      </c>
    </row>
    <row r="24" spans="1:6">
      <c r="A24" s="1" t="s">
        <v>126</v>
      </c>
      <c r="B24" s="6">
        <f>Database!B48</f>
        <v>86000</v>
      </c>
      <c r="C24" s="6">
        <f>Database!C48</f>
        <v>89000</v>
      </c>
      <c r="D24">
        <v>137.5</v>
      </c>
      <c r="E24" s="3">
        <f t="shared" si="1"/>
        <v>3000</v>
      </c>
      <c r="F24" s="5">
        <f t="shared" si="2"/>
        <v>21.818181818181817</v>
      </c>
    </row>
    <row r="27" spans="1:6">
      <c r="A27" s="10" t="s">
        <v>128</v>
      </c>
    </row>
    <row r="29" spans="1:6">
      <c r="A29" s="1" t="s">
        <v>117</v>
      </c>
      <c r="B29" s="1" t="s">
        <v>44</v>
      </c>
      <c r="C29" s="1" t="s">
        <v>79</v>
      </c>
      <c r="D29" s="1" t="s">
        <v>129</v>
      </c>
    </row>
    <row r="31" spans="1:6">
      <c r="A31" s="11" t="s">
        <v>130</v>
      </c>
      <c r="B31" s="23">
        <v>0</v>
      </c>
      <c r="C31">
        <f>Database!B44</f>
        <v>700</v>
      </c>
      <c r="D31">
        <f>B31*C31</f>
        <v>0</v>
      </c>
    </row>
    <row r="32" spans="1:6">
      <c r="A32" s="11" t="s">
        <v>118</v>
      </c>
      <c r="B32" s="23">
        <v>0</v>
      </c>
      <c r="C32">
        <f>Database!C44</f>
        <v>200</v>
      </c>
      <c r="D32">
        <f t="shared" ref="D32:D40" si="3">B32*C32</f>
        <v>0</v>
      </c>
    </row>
    <row r="33" spans="1:9">
      <c r="A33" s="52" t="s">
        <v>132</v>
      </c>
      <c r="B33" s="23">
        <v>0</v>
      </c>
      <c r="C33">
        <f>Database!B45</f>
        <v>1200</v>
      </c>
      <c r="D33">
        <f t="shared" si="3"/>
        <v>0</v>
      </c>
    </row>
    <row r="34" spans="1:9">
      <c r="A34" s="52" t="s">
        <v>119</v>
      </c>
      <c r="B34" s="23">
        <v>0</v>
      </c>
      <c r="C34">
        <f>Database!C45</f>
        <v>800</v>
      </c>
      <c r="D34">
        <f t="shared" si="3"/>
        <v>0</v>
      </c>
    </row>
    <row r="35" spans="1:9">
      <c r="A35" s="53" t="s">
        <v>133</v>
      </c>
      <c r="B35" s="23">
        <v>0</v>
      </c>
      <c r="C35">
        <f>Database!B46</f>
        <v>1650</v>
      </c>
      <c r="D35">
        <f t="shared" si="3"/>
        <v>0</v>
      </c>
    </row>
    <row r="36" spans="1:9">
      <c r="A36" s="53" t="s">
        <v>120</v>
      </c>
      <c r="B36" s="23">
        <v>0</v>
      </c>
      <c r="C36">
        <f>Database!C46</f>
        <v>850</v>
      </c>
      <c r="D36">
        <f t="shared" si="3"/>
        <v>0</v>
      </c>
    </row>
    <row r="37" spans="1:9">
      <c r="A37" s="1" t="s">
        <v>131</v>
      </c>
      <c r="B37" s="23">
        <v>0</v>
      </c>
      <c r="C37">
        <f>Database!B47</f>
        <v>5000</v>
      </c>
      <c r="D37">
        <f t="shared" si="3"/>
        <v>0</v>
      </c>
    </row>
    <row r="38" spans="1:9">
      <c r="A38" s="1" t="s">
        <v>121</v>
      </c>
      <c r="B38" s="23">
        <v>0</v>
      </c>
      <c r="C38">
        <f>Database!C47</f>
        <v>4000</v>
      </c>
      <c r="D38">
        <f t="shared" si="3"/>
        <v>0</v>
      </c>
    </row>
    <row r="39" spans="1:9">
      <c r="A39" s="54" t="s">
        <v>135</v>
      </c>
      <c r="B39" s="23">
        <v>0</v>
      </c>
      <c r="C39">
        <f>Database!B48</f>
        <v>86000</v>
      </c>
      <c r="D39">
        <f t="shared" si="3"/>
        <v>0</v>
      </c>
    </row>
    <row r="40" spans="1:9">
      <c r="A40" s="54" t="s">
        <v>126</v>
      </c>
      <c r="B40" s="23">
        <v>0</v>
      </c>
      <c r="C40">
        <f>Database!C48</f>
        <v>89000</v>
      </c>
      <c r="D40">
        <f t="shared" si="3"/>
        <v>0</v>
      </c>
    </row>
    <row r="42" spans="1:9">
      <c r="C42" s="1" t="s">
        <v>134</v>
      </c>
      <c r="D42">
        <f>D31+D32+D33+D34+D35+D36+D37+D38+D39+D40</f>
        <v>0</v>
      </c>
    </row>
    <row r="44" spans="1:9">
      <c r="A44" s="10" t="s">
        <v>236</v>
      </c>
    </row>
    <row r="46" spans="1:9">
      <c r="A46" s="1" t="s">
        <v>237</v>
      </c>
      <c r="B46" s="1" t="s">
        <v>187</v>
      </c>
      <c r="C46" s="1" t="s">
        <v>238</v>
      </c>
      <c r="D46" s="1" t="s">
        <v>239</v>
      </c>
      <c r="E46" s="1" t="s">
        <v>250</v>
      </c>
      <c r="F46" s="1" t="s">
        <v>240</v>
      </c>
      <c r="G46" s="1" t="s">
        <v>241</v>
      </c>
      <c r="H46" s="1" t="s">
        <v>27</v>
      </c>
      <c r="I46" s="1" t="s">
        <v>38</v>
      </c>
    </row>
    <row r="48" spans="1:9">
      <c r="A48" s="1" t="s">
        <v>242</v>
      </c>
      <c r="B48">
        <v>57</v>
      </c>
      <c r="C48" s="50" t="s">
        <v>246</v>
      </c>
      <c r="D48">
        <v>1</v>
      </c>
      <c r="E48">
        <f>Database!B71</f>
        <v>1800</v>
      </c>
      <c r="F48">
        <f>E48</f>
        <v>1800</v>
      </c>
      <c r="G48">
        <f>Database!B78</f>
        <v>1250</v>
      </c>
      <c r="H48">
        <f>G48-F48</f>
        <v>-550</v>
      </c>
      <c r="I48" s="7">
        <f>H48/62</f>
        <v>-8.870967741935484</v>
      </c>
    </row>
    <row r="49" spans="1:9">
      <c r="A49" s="1" t="s">
        <v>243</v>
      </c>
      <c r="B49">
        <v>60</v>
      </c>
      <c r="C49" s="50" t="s">
        <v>246</v>
      </c>
      <c r="D49">
        <v>2</v>
      </c>
      <c r="E49">
        <f>Database!B71</f>
        <v>1800</v>
      </c>
      <c r="F49">
        <f>2*E49</f>
        <v>3600</v>
      </c>
      <c r="G49">
        <f>Database!B79</f>
        <v>2150</v>
      </c>
      <c r="H49">
        <f t="shared" ref="H49:H50" si="4">G49-F49</f>
        <v>-1450</v>
      </c>
      <c r="I49" s="7">
        <f>H49/124</f>
        <v>-11.693548387096774</v>
      </c>
    </row>
    <row r="50" spans="1:9">
      <c r="A50" s="1" t="s">
        <v>244</v>
      </c>
      <c r="B50">
        <v>63</v>
      </c>
      <c r="C50" s="50" t="s">
        <v>246</v>
      </c>
      <c r="D50">
        <v>3</v>
      </c>
      <c r="E50">
        <f>Database!B71</f>
        <v>1800</v>
      </c>
      <c r="F50">
        <f>3*E50</f>
        <v>5400</v>
      </c>
      <c r="G50">
        <f>Database!B80</f>
        <v>4550</v>
      </c>
      <c r="H50">
        <f t="shared" si="4"/>
        <v>-850</v>
      </c>
      <c r="I50" s="7">
        <f>H50/186</f>
        <v>-4.56989247311828</v>
      </c>
    </row>
    <row r="51" spans="1:9">
      <c r="A51" s="1" t="s">
        <v>245</v>
      </c>
      <c r="B51">
        <v>71</v>
      </c>
      <c r="C51" s="51" t="s">
        <v>247</v>
      </c>
      <c r="D51">
        <v>3</v>
      </c>
      <c r="E51">
        <f>Database!B72</f>
        <v>1900</v>
      </c>
      <c r="F51">
        <f>3*E51</f>
        <v>5700</v>
      </c>
      <c r="G51">
        <f>Database!B81</f>
        <v>10000</v>
      </c>
      <c r="H51">
        <f>G51-F51</f>
        <v>4300</v>
      </c>
      <c r="I51" s="7">
        <f>H51/186</f>
        <v>23.118279569892472</v>
      </c>
    </row>
    <row r="52" spans="1:9">
      <c r="A52" s="1"/>
      <c r="C52" s="51"/>
    </row>
    <row r="53" spans="1:9">
      <c r="A53" s="1"/>
    </row>
  </sheetData>
  <conditionalFormatting sqref="I48:I51">
    <cfRule type="cellIs" dxfId="25" priority="6" operator="lessThan">
      <formula>0</formula>
    </cfRule>
    <cfRule type="cellIs" dxfId="24" priority="7" operator="greaterThanOrEqual">
      <formula>0</formula>
    </cfRule>
  </conditionalFormatting>
  <conditionalFormatting sqref="H48:H51">
    <cfRule type="cellIs" dxfId="23" priority="5" operator="greaterThanOrEqual">
      <formula>0</formula>
    </cfRule>
  </conditionalFormatting>
  <conditionalFormatting sqref="D10:D14 E20:F24">
    <cfRule type="cellIs" dxfId="22" priority="4" operator="greaterThanOrEqual">
      <formula>0</formula>
    </cfRule>
  </conditionalFormatting>
  <conditionalFormatting sqref="D10:D14 E20:F24">
    <cfRule type="cellIs" dxfId="21" priority="3" operator="lessThan">
      <formula>0</formula>
    </cfRule>
  </conditionalFormatting>
  <conditionalFormatting sqref="H48:H50">
    <cfRule type="cellIs" dxfId="20" priority="1" operator="lessThan">
      <formula>0</formula>
    </cfRule>
    <cfRule type="cellIs" dxfId="19" priority="2" operator="greaterThanOrEqual">
      <formula>0</formula>
    </cfRule>
  </conditionalFormatting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3"/>
  <sheetViews>
    <sheetView topLeftCell="A6" workbookViewId="0">
      <selection activeCell="D10" sqref="D10"/>
    </sheetView>
  </sheetViews>
  <sheetFormatPr baseColWidth="10" defaultRowHeight="15" x14ac:dyDescent="0"/>
  <cols>
    <col min="1" max="1" width="17.1640625" customWidth="1"/>
    <col min="4" max="4" width="12.6640625" bestFit="1" customWidth="1"/>
    <col min="5" max="5" width="12.1640625" bestFit="1" customWidth="1"/>
  </cols>
  <sheetData>
    <row r="1" spans="1:8" ht="25">
      <c r="F1" s="20" t="s">
        <v>19</v>
      </c>
    </row>
    <row r="2" spans="1:8">
      <c r="F2" s="21" t="s">
        <v>221</v>
      </c>
    </row>
    <row r="3" spans="1:8" ht="25">
      <c r="A3" s="17" t="s">
        <v>164</v>
      </c>
    </row>
    <row r="5" spans="1:8">
      <c r="A5" s="10" t="s">
        <v>293</v>
      </c>
    </row>
    <row r="7" spans="1:8">
      <c r="A7" s="1" t="s">
        <v>294</v>
      </c>
      <c r="B7" s="1" t="s">
        <v>187</v>
      </c>
      <c r="C7" s="1" t="s">
        <v>297</v>
      </c>
      <c r="D7" s="1" t="s">
        <v>298</v>
      </c>
      <c r="E7" s="1" t="s">
        <v>299</v>
      </c>
      <c r="F7" s="1" t="s">
        <v>27</v>
      </c>
      <c r="G7" s="1" t="s">
        <v>37</v>
      </c>
      <c r="H7" s="1" t="s">
        <v>38</v>
      </c>
    </row>
    <row r="9" spans="1:8">
      <c r="A9" s="1" t="s">
        <v>305</v>
      </c>
      <c r="B9">
        <v>30</v>
      </c>
      <c r="C9">
        <f>Database!F81</f>
        <v>30</v>
      </c>
      <c r="D9">
        <f>Database!G81</f>
        <v>15</v>
      </c>
      <c r="E9">
        <f>Database!E81</f>
        <v>40</v>
      </c>
      <c r="F9">
        <f t="shared" ref="F9:F10" si="0">E9-(D9+C9)</f>
        <v>-5</v>
      </c>
      <c r="G9">
        <v>5</v>
      </c>
      <c r="H9">
        <f t="shared" ref="H9:H10" si="1">F9/G9</f>
        <v>-1</v>
      </c>
    </row>
    <row r="10" spans="1:8">
      <c r="A10" s="1" t="s">
        <v>304</v>
      </c>
      <c r="B10">
        <v>45</v>
      </c>
      <c r="C10">
        <f>Database!F82</f>
        <v>50</v>
      </c>
      <c r="D10">
        <f>Database!G82</f>
        <v>15</v>
      </c>
      <c r="E10">
        <f>Database!E82</f>
        <v>60</v>
      </c>
      <c r="F10">
        <f t="shared" si="0"/>
        <v>-5</v>
      </c>
      <c r="G10">
        <v>7.5</v>
      </c>
      <c r="H10">
        <f t="shared" si="1"/>
        <v>-0.66666666666666663</v>
      </c>
    </row>
    <row r="11" spans="1:8">
      <c r="A11" s="1" t="s">
        <v>295</v>
      </c>
      <c r="B11">
        <v>52</v>
      </c>
      <c r="C11">
        <f>Database!F83</f>
        <v>55</v>
      </c>
      <c r="D11">
        <f>Database!G83</f>
        <v>15</v>
      </c>
      <c r="E11">
        <f>Database!E83</f>
        <v>0</v>
      </c>
      <c r="F11">
        <f>E11-(D11+C11)</f>
        <v>-70</v>
      </c>
      <c r="G11">
        <v>10</v>
      </c>
      <c r="H11">
        <f>F11/G11</f>
        <v>-7</v>
      </c>
    </row>
    <row r="12" spans="1:8">
      <c r="A12" s="1" t="s">
        <v>296</v>
      </c>
      <c r="B12">
        <v>60</v>
      </c>
      <c r="C12">
        <f>Database!F84</f>
        <v>95</v>
      </c>
      <c r="D12">
        <f>Database!G84</f>
        <v>15</v>
      </c>
      <c r="E12">
        <f>Database!E84</f>
        <v>100</v>
      </c>
      <c r="F12">
        <f>E12-(D12+C12)</f>
        <v>-10</v>
      </c>
      <c r="G12">
        <v>10</v>
      </c>
      <c r="H12">
        <f>F12/G12</f>
        <v>-1</v>
      </c>
    </row>
    <row r="15" spans="1:8">
      <c r="A15" s="10" t="s">
        <v>188</v>
      </c>
    </row>
    <row r="17" spans="1:9">
      <c r="A17" s="1" t="s">
        <v>165</v>
      </c>
      <c r="B17" s="1" t="s">
        <v>187</v>
      </c>
      <c r="C17" s="1" t="s">
        <v>166</v>
      </c>
      <c r="D17" s="1" t="s">
        <v>167</v>
      </c>
      <c r="E17" s="1" t="s">
        <v>168</v>
      </c>
      <c r="F17" s="1" t="s">
        <v>27</v>
      </c>
      <c r="G17" s="1" t="s">
        <v>37</v>
      </c>
      <c r="H17" s="1" t="s">
        <v>38</v>
      </c>
    </row>
    <row r="19" spans="1:9">
      <c r="A19" s="1" t="s">
        <v>169</v>
      </c>
      <c r="B19">
        <v>10</v>
      </c>
      <c r="C19" t="s">
        <v>175</v>
      </c>
      <c r="D19" s="3">
        <f>Database!B55</f>
        <v>150</v>
      </c>
      <c r="E19" s="3">
        <v>0</v>
      </c>
      <c r="F19" s="3">
        <f>E19-D19</f>
        <v>-150</v>
      </c>
      <c r="G19">
        <v>10</v>
      </c>
      <c r="H19" s="5">
        <f>F19/G19</f>
        <v>-15</v>
      </c>
    </row>
    <row r="20" spans="1:9">
      <c r="A20" s="1" t="s">
        <v>170</v>
      </c>
      <c r="B20">
        <v>25</v>
      </c>
      <c r="C20" t="s">
        <v>176</v>
      </c>
      <c r="D20" s="3">
        <f>Database!B56</f>
        <v>63</v>
      </c>
      <c r="E20" s="3">
        <v>0</v>
      </c>
      <c r="F20" s="3">
        <f t="shared" ref="F20:F24" si="2">E20-D20</f>
        <v>-63</v>
      </c>
      <c r="G20">
        <v>25</v>
      </c>
      <c r="H20" s="5">
        <f t="shared" ref="H20:H24" si="3">F20/G20</f>
        <v>-2.52</v>
      </c>
    </row>
    <row r="21" spans="1:9">
      <c r="A21" s="1" t="s">
        <v>171</v>
      </c>
      <c r="B21">
        <v>40</v>
      </c>
      <c r="C21" t="s">
        <v>177</v>
      </c>
      <c r="D21" s="3">
        <f>Database!B57</f>
        <v>30</v>
      </c>
      <c r="E21" s="3">
        <f>Database!E57</f>
        <v>10</v>
      </c>
      <c r="F21" s="3">
        <f t="shared" si="2"/>
        <v>-20</v>
      </c>
      <c r="G21">
        <v>41.5</v>
      </c>
      <c r="H21" s="5">
        <f t="shared" si="3"/>
        <v>-0.48192771084337349</v>
      </c>
    </row>
    <row r="22" spans="1:9">
      <c r="A22" s="1" t="s">
        <v>172</v>
      </c>
      <c r="B22">
        <v>55</v>
      </c>
      <c r="C22" t="s">
        <v>178</v>
      </c>
      <c r="D22" s="3">
        <f>Database!B58</f>
        <v>75</v>
      </c>
      <c r="E22" s="3">
        <f>Database!E58</f>
        <v>110</v>
      </c>
      <c r="F22" s="3">
        <f t="shared" si="2"/>
        <v>35</v>
      </c>
      <c r="G22">
        <v>58.3</v>
      </c>
      <c r="H22" s="5">
        <f t="shared" si="3"/>
        <v>0.60034305317324188</v>
      </c>
    </row>
    <row r="23" spans="1:9">
      <c r="A23" s="1" t="s">
        <v>173</v>
      </c>
      <c r="B23">
        <v>70</v>
      </c>
      <c r="C23" t="s">
        <v>179</v>
      </c>
      <c r="D23" s="3">
        <f>Database!B59</f>
        <v>470</v>
      </c>
      <c r="E23" s="3">
        <f>Database!E59</f>
        <v>495</v>
      </c>
      <c r="F23" s="3">
        <f t="shared" si="2"/>
        <v>25</v>
      </c>
      <c r="G23">
        <v>75</v>
      </c>
      <c r="H23" s="5">
        <f t="shared" si="3"/>
        <v>0.33333333333333331</v>
      </c>
    </row>
    <row r="24" spans="1:9">
      <c r="A24" s="1" t="s">
        <v>174</v>
      </c>
      <c r="B24">
        <v>85</v>
      </c>
      <c r="C24" t="s">
        <v>139</v>
      </c>
      <c r="D24" s="3">
        <f>Database!B60</f>
        <v>1100</v>
      </c>
      <c r="E24" s="3">
        <f>Database!E60</f>
        <v>1250</v>
      </c>
      <c r="F24" s="3">
        <f t="shared" si="2"/>
        <v>150</v>
      </c>
      <c r="G24">
        <v>91.5</v>
      </c>
      <c r="H24" s="5">
        <f t="shared" si="3"/>
        <v>1.639344262295082</v>
      </c>
    </row>
    <row r="25" spans="1:9">
      <c r="A25" s="1"/>
    </row>
    <row r="27" spans="1:9">
      <c r="A27" s="10" t="s">
        <v>189</v>
      </c>
    </row>
    <row r="29" spans="1:9">
      <c r="A29" s="1" t="s">
        <v>165</v>
      </c>
      <c r="B29" s="1" t="s">
        <v>187</v>
      </c>
      <c r="C29" s="1" t="s">
        <v>166</v>
      </c>
      <c r="D29" s="1" t="s">
        <v>168</v>
      </c>
      <c r="E29" s="1" t="s">
        <v>185</v>
      </c>
      <c r="F29" s="1" t="s">
        <v>190</v>
      </c>
      <c r="G29" s="1" t="s">
        <v>27</v>
      </c>
      <c r="H29" s="1" t="s">
        <v>37</v>
      </c>
      <c r="I29" s="1" t="s">
        <v>38</v>
      </c>
    </row>
    <row r="31" spans="1:9">
      <c r="A31" s="1" t="s">
        <v>169</v>
      </c>
      <c r="B31">
        <v>10</v>
      </c>
      <c r="C31" t="s">
        <v>175</v>
      </c>
      <c r="D31" s="3">
        <v>0</v>
      </c>
      <c r="E31">
        <f>Database!B64</f>
        <v>85</v>
      </c>
      <c r="F31" s="3">
        <v>0</v>
      </c>
      <c r="G31" s="3">
        <f>F31-(E31+D31)</f>
        <v>-85</v>
      </c>
      <c r="H31">
        <v>10</v>
      </c>
      <c r="I31" s="5">
        <f>G31/H31</f>
        <v>-8.5</v>
      </c>
    </row>
    <row r="32" spans="1:9">
      <c r="A32" s="1" t="s">
        <v>170</v>
      </c>
      <c r="B32">
        <v>25</v>
      </c>
      <c r="C32" t="s">
        <v>176</v>
      </c>
      <c r="D32" s="3">
        <v>0</v>
      </c>
      <c r="E32">
        <f>Database!B64</f>
        <v>85</v>
      </c>
      <c r="F32" s="3">
        <v>0</v>
      </c>
      <c r="G32" s="3">
        <f t="shared" ref="G32:G36" si="4">F32-(E32+D32)</f>
        <v>-85</v>
      </c>
      <c r="H32">
        <v>25</v>
      </c>
      <c r="I32" s="5">
        <f t="shared" ref="I32:I36" si="5">G32/H32</f>
        <v>-3.4</v>
      </c>
    </row>
    <row r="33" spans="1:9">
      <c r="A33" s="1" t="s">
        <v>171</v>
      </c>
      <c r="B33">
        <v>40</v>
      </c>
      <c r="C33" t="s">
        <v>177</v>
      </c>
      <c r="D33" s="3">
        <f>Database!E57</f>
        <v>10</v>
      </c>
      <c r="E33">
        <f>Database!B64</f>
        <v>85</v>
      </c>
      <c r="F33" s="3">
        <f>Database!F57</f>
        <v>95</v>
      </c>
      <c r="G33" s="3">
        <f t="shared" si="4"/>
        <v>0</v>
      </c>
      <c r="H33">
        <v>41.5</v>
      </c>
      <c r="I33" s="5">
        <f t="shared" si="5"/>
        <v>0</v>
      </c>
    </row>
    <row r="34" spans="1:9">
      <c r="A34" s="1" t="s">
        <v>172</v>
      </c>
      <c r="B34">
        <v>55</v>
      </c>
      <c r="C34" t="s">
        <v>178</v>
      </c>
      <c r="D34" s="3">
        <f>Database!E58</f>
        <v>110</v>
      </c>
      <c r="E34">
        <f>Database!B64</f>
        <v>85</v>
      </c>
      <c r="F34" s="3">
        <f>Database!F58</f>
        <v>305</v>
      </c>
      <c r="G34" s="3">
        <f t="shared" si="4"/>
        <v>110</v>
      </c>
      <c r="H34">
        <v>58.3</v>
      </c>
      <c r="I34" s="5">
        <f t="shared" si="5"/>
        <v>1.8867924528301887</v>
      </c>
    </row>
    <row r="35" spans="1:9">
      <c r="A35" s="1" t="s">
        <v>173</v>
      </c>
      <c r="B35">
        <v>70</v>
      </c>
      <c r="C35" t="s">
        <v>179</v>
      </c>
      <c r="D35" s="3">
        <f>Database!E59</f>
        <v>495</v>
      </c>
      <c r="E35">
        <f>Database!B64</f>
        <v>85</v>
      </c>
      <c r="F35" s="3">
        <f>Database!F59</f>
        <v>695</v>
      </c>
      <c r="G35" s="3">
        <f t="shared" si="4"/>
        <v>115</v>
      </c>
      <c r="H35">
        <v>75</v>
      </c>
      <c r="I35" s="5">
        <f t="shared" si="5"/>
        <v>1.5333333333333334</v>
      </c>
    </row>
    <row r="36" spans="1:9">
      <c r="A36" s="1" t="s">
        <v>174</v>
      </c>
      <c r="B36">
        <v>85</v>
      </c>
      <c r="C36" t="s">
        <v>139</v>
      </c>
      <c r="D36" s="3">
        <f>Database!E60</f>
        <v>1250</v>
      </c>
      <c r="E36">
        <f>Database!B64</f>
        <v>85</v>
      </c>
      <c r="F36" s="3">
        <f>Database!F60</f>
        <v>1450</v>
      </c>
      <c r="G36" s="3">
        <f t="shared" si="4"/>
        <v>115</v>
      </c>
      <c r="H36">
        <v>91.5</v>
      </c>
      <c r="I36" s="5">
        <f t="shared" si="5"/>
        <v>1.2568306010928962</v>
      </c>
    </row>
    <row r="39" spans="1:9">
      <c r="A39" s="10" t="s">
        <v>191</v>
      </c>
    </row>
    <row r="41" spans="1:9">
      <c r="A41" s="1" t="s">
        <v>165</v>
      </c>
      <c r="B41" s="1" t="s">
        <v>187</v>
      </c>
      <c r="C41" s="1" t="s">
        <v>166</v>
      </c>
      <c r="D41" s="1" t="s">
        <v>167</v>
      </c>
      <c r="E41" s="1" t="s">
        <v>185</v>
      </c>
      <c r="F41" s="1" t="s">
        <v>190</v>
      </c>
      <c r="G41" s="1" t="s">
        <v>27</v>
      </c>
      <c r="H41" s="1" t="s">
        <v>37</v>
      </c>
      <c r="I41" s="1" t="s">
        <v>38</v>
      </c>
    </row>
    <row r="43" spans="1:9">
      <c r="A43" s="1" t="s">
        <v>169</v>
      </c>
      <c r="B43">
        <v>10</v>
      </c>
      <c r="C43" t="s">
        <v>175</v>
      </c>
      <c r="D43" s="3">
        <f>Database!B55</f>
        <v>150</v>
      </c>
      <c r="E43">
        <f>Database!B64</f>
        <v>85</v>
      </c>
      <c r="F43" s="3">
        <v>0</v>
      </c>
      <c r="G43" s="3">
        <f>F43-(E43+D43)</f>
        <v>-235</v>
      </c>
      <c r="H43">
        <v>10</v>
      </c>
      <c r="I43" s="5">
        <f>G43/H43</f>
        <v>-23.5</v>
      </c>
    </row>
    <row r="44" spans="1:9">
      <c r="A44" s="1" t="s">
        <v>170</v>
      </c>
      <c r="B44">
        <v>25</v>
      </c>
      <c r="C44" t="s">
        <v>176</v>
      </c>
      <c r="D44" s="3">
        <f>Database!B56</f>
        <v>63</v>
      </c>
      <c r="E44">
        <f>Database!B64</f>
        <v>85</v>
      </c>
      <c r="F44" s="3">
        <v>0</v>
      </c>
      <c r="G44" s="3">
        <f t="shared" ref="G44:G48" si="6">F44-(E44+D44)</f>
        <v>-148</v>
      </c>
      <c r="H44">
        <v>25</v>
      </c>
      <c r="I44" s="5">
        <f t="shared" ref="I44:I48" si="7">G44/H44</f>
        <v>-5.92</v>
      </c>
    </row>
    <row r="45" spans="1:9">
      <c r="A45" s="1" t="s">
        <v>171</v>
      </c>
      <c r="B45">
        <v>40</v>
      </c>
      <c r="C45" t="s">
        <v>177</v>
      </c>
      <c r="D45" s="3">
        <f>Database!B57</f>
        <v>30</v>
      </c>
      <c r="E45">
        <f>Database!B64</f>
        <v>85</v>
      </c>
      <c r="F45" s="3">
        <f>Database!F57</f>
        <v>95</v>
      </c>
      <c r="G45" s="3">
        <f t="shared" si="6"/>
        <v>-20</v>
      </c>
      <c r="H45">
        <v>41.5</v>
      </c>
      <c r="I45" s="5">
        <f t="shared" si="7"/>
        <v>-0.48192771084337349</v>
      </c>
    </row>
    <row r="46" spans="1:9">
      <c r="A46" s="1" t="s">
        <v>172</v>
      </c>
      <c r="B46">
        <v>55</v>
      </c>
      <c r="C46" t="s">
        <v>178</v>
      </c>
      <c r="D46" s="3">
        <f>Database!B58</f>
        <v>75</v>
      </c>
      <c r="E46">
        <f>Database!B64</f>
        <v>85</v>
      </c>
      <c r="F46" s="3">
        <f>Database!F58</f>
        <v>305</v>
      </c>
      <c r="G46" s="3">
        <f t="shared" si="6"/>
        <v>145</v>
      </c>
      <c r="H46">
        <v>58.3</v>
      </c>
      <c r="I46" s="5">
        <f t="shared" si="7"/>
        <v>2.4871355060034306</v>
      </c>
    </row>
    <row r="47" spans="1:9">
      <c r="A47" s="1" t="s">
        <v>173</v>
      </c>
      <c r="B47">
        <v>70</v>
      </c>
      <c r="C47" t="s">
        <v>179</v>
      </c>
      <c r="D47" s="3">
        <f>Database!B59</f>
        <v>470</v>
      </c>
      <c r="E47">
        <f>Database!B64</f>
        <v>85</v>
      </c>
      <c r="F47" s="3">
        <f>Database!F59</f>
        <v>695</v>
      </c>
      <c r="G47" s="3">
        <f t="shared" si="6"/>
        <v>140</v>
      </c>
      <c r="H47">
        <v>75</v>
      </c>
      <c r="I47" s="5">
        <f t="shared" si="7"/>
        <v>1.8666666666666667</v>
      </c>
    </row>
    <row r="48" spans="1:9">
      <c r="A48" s="1" t="s">
        <v>174</v>
      </c>
      <c r="B48">
        <v>85</v>
      </c>
      <c r="C48" t="s">
        <v>139</v>
      </c>
      <c r="D48" s="3">
        <f>Database!B60</f>
        <v>1100</v>
      </c>
      <c r="E48">
        <f>Database!B64</f>
        <v>85</v>
      </c>
      <c r="F48" s="3">
        <f>Database!F60</f>
        <v>1450</v>
      </c>
      <c r="G48" s="3">
        <f t="shared" si="6"/>
        <v>265</v>
      </c>
      <c r="H48">
        <v>91.5</v>
      </c>
      <c r="I48" s="5">
        <f t="shared" si="7"/>
        <v>2.8961748633879782</v>
      </c>
    </row>
    <row r="51" spans="1:11">
      <c r="A51" s="10" t="s">
        <v>192</v>
      </c>
    </row>
    <row r="52" spans="1:11">
      <c r="J52" s="1" t="s">
        <v>196</v>
      </c>
      <c r="K52" s="1" t="s">
        <v>139</v>
      </c>
    </row>
    <row r="53" spans="1:11">
      <c r="A53" s="1" t="s">
        <v>165</v>
      </c>
      <c r="B53" s="1" t="s">
        <v>187</v>
      </c>
      <c r="C53" s="1" t="s">
        <v>166</v>
      </c>
      <c r="D53" s="1" t="s">
        <v>167</v>
      </c>
      <c r="E53" s="1" t="s">
        <v>185</v>
      </c>
      <c r="F53" s="1" t="s">
        <v>194</v>
      </c>
      <c r="G53" s="1" t="s">
        <v>193</v>
      </c>
      <c r="H53" s="1" t="s">
        <v>27</v>
      </c>
      <c r="I53" s="1" t="s">
        <v>37</v>
      </c>
      <c r="J53" s="1" t="s">
        <v>38</v>
      </c>
      <c r="K53" s="12" t="s">
        <v>38</v>
      </c>
    </row>
    <row r="55" spans="1:11">
      <c r="A55" s="1" t="s">
        <v>169</v>
      </c>
      <c r="B55">
        <v>10</v>
      </c>
      <c r="C55" t="s">
        <v>175</v>
      </c>
      <c r="D55" s="3">
        <f>Database!B55</f>
        <v>150</v>
      </c>
      <c r="E55">
        <f>Database!B64</f>
        <v>85</v>
      </c>
      <c r="F55">
        <f>Database!B62</f>
        <v>270</v>
      </c>
      <c r="G55" s="3">
        <f>Database!E64</f>
        <v>48</v>
      </c>
      <c r="H55" s="3">
        <f>G55-(F55+E55+D55)</f>
        <v>-457</v>
      </c>
      <c r="I55">
        <v>20</v>
      </c>
      <c r="J55" s="5">
        <f>H55/I55</f>
        <v>-22.85</v>
      </c>
      <c r="K55" s="5">
        <f>H55/65</f>
        <v>-7.0307692307692307</v>
      </c>
    </row>
    <row r="56" spans="1:11">
      <c r="A56" s="1" t="s">
        <v>170</v>
      </c>
      <c r="B56">
        <v>25</v>
      </c>
      <c r="C56" t="s">
        <v>176</v>
      </c>
      <c r="D56" s="3">
        <f>Database!B56</f>
        <v>63</v>
      </c>
      <c r="E56">
        <f>Database!B64</f>
        <v>85</v>
      </c>
      <c r="F56">
        <f>Database!B62</f>
        <v>270</v>
      </c>
      <c r="G56" s="3">
        <f>Database!E65</f>
        <v>96</v>
      </c>
      <c r="H56" s="3">
        <f t="shared" ref="H56:H60" si="8">G56-(F56+E56+D56)</f>
        <v>-322</v>
      </c>
      <c r="I56">
        <v>50</v>
      </c>
      <c r="J56" s="5">
        <f t="shared" ref="J56:J60" si="9">H56/I56</f>
        <v>-6.44</v>
      </c>
      <c r="K56" s="5">
        <f t="shared" ref="K56:K60" si="10">H56/65</f>
        <v>-4.953846153846154</v>
      </c>
    </row>
    <row r="57" spans="1:11">
      <c r="A57" s="1" t="s">
        <v>171</v>
      </c>
      <c r="B57">
        <v>40</v>
      </c>
      <c r="C57" t="s">
        <v>177</v>
      </c>
      <c r="D57" s="3">
        <f>Database!B57</f>
        <v>30</v>
      </c>
      <c r="E57">
        <f>Database!B64</f>
        <v>85</v>
      </c>
      <c r="F57">
        <f>Database!B62</f>
        <v>270</v>
      </c>
      <c r="G57" s="3">
        <f>Database!E66</f>
        <v>192</v>
      </c>
      <c r="H57" s="3">
        <f t="shared" si="8"/>
        <v>-193</v>
      </c>
      <c r="I57">
        <v>83</v>
      </c>
      <c r="J57" s="5">
        <f t="shared" si="9"/>
        <v>-2.3253012048192772</v>
      </c>
      <c r="K57" s="5">
        <f t="shared" si="10"/>
        <v>-2.9692307692307693</v>
      </c>
    </row>
    <row r="58" spans="1:11">
      <c r="A58" s="1" t="s">
        <v>172</v>
      </c>
      <c r="B58">
        <v>55</v>
      </c>
      <c r="C58" t="s">
        <v>178</v>
      </c>
      <c r="D58" s="3">
        <f>Database!B58</f>
        <v>75</v>
      </c>
      <c r="E58">
        <f>Database!B64</f>
        <v>85</v>
      </c>
      <c r="F58">
        <f>Database!B62</f>
        <v>270</v>
      </c>
      <c r="G58" s="3">
        <f>Database!E67</f>
        <v>384</v>
      </c>
      <c r="H58" s="3">
        <f t="shared" si="8"/>
        <v>-46</v>
      </c>
      <c r="I58">
        <v>116.6</v>
      </c>
      <c r="J58" s="5">
        <f t="shared" si="9"/>
        <v>-0.39451114922813035</v>
      </c>
      <c r="K58" s="5">
        <f t="shared" si="10"/>
        <v>-0.70769230769230773</v>
      </c>
    </row>
    <row r="59" spans="1:11">
      <c r="A59" s="1" t="s">
        <v>173</v>
      </c>
      <c r="B59">
        <v>70</v>
      </c>
      <c r="C59" t="s">
        <v>179</v>
      </c>
      <c r="D59" s="3">
        <f>Database!B59</f>
        <v>470</v>
      </c>
      <c r="E59">
        <f>Database!B64</f>
        <v>85</v>
      </c>
      <c r="F59">
        <f>Database!B62</f>
        <v>270</v>
      </c>
      <c r="G59" s="3">
        <f>Database!E68</f>
        <v>768</v>
      </c>
      <c r="H59" s="3">
        <f t="shared" si="8"/>
        <v>-57</v>
      </c>
      <c r="I59">
        <v>150</v>
      </c>
      <c r="J59" s="5">
        <f t="shared" si="9"/>
        <v>-0.38</v>
      </c>
      <c r="K59" s="5">
        <f t="shared" si="10"/>
        <v>-0.87692307692307692</v>
      </c>
    </row>
    <row r="60" spans="1:11">
      <c r="A60" s="1" t="s">
        <v>174</v>
      </c>
      <c r="B60">
        <v>85</v>
      </c>
      <c r="C60" t="s">
        <v>139</v>
      </c>
      <c r="D60" s="3">
        <f>Database!B60</f>
        <v>1100</v>
      </c>
      <c r="E60">
        <f>Database!B64</f>
        <v>85</v>
      </c>
      <c r="F60">
        <f>Database!B62</f>
        <v>270</v>
      </c>
      <c r="G60" s="3">
        <f>Database!E69</f>
        <v>1536</v>
      </c>
      <c r="H60" s="3">
        <f t="shared" si="8"/>
        <v>81</v>
      </c>
      <c r="I60">
        <v>183</v>
      </c>
      <c r="J60" s="5">
        <f t="shared" si="9"/>
        <v>0.44262295081967212</v>
      </c>
      <c r="K60" s="5">
        <f t="shared" si="10"/>
        <v>1.2461538461538462</v>
      </c>
    </row>
    <row r="63" spans="1:11">
      <c r="A63" s="19" t="s">
        <v>197</v>
      </c>
    </row>
    <row r="65" spans="1:8">
      <c r="A65" s="1" t="s">
        <v>198</v>
      </c>
      <c r="B65" s="1" t="s">
        <v>79</v>
      </c>
      <c r="C65" s="1" t="s">
        <v>194</v>
      </c>
      <c r="D65" s="1" t="s">
        <v>193</v>
      </c>
      <c r="E65" s="1" t="s">
        <v>27</v>
      </c>
      <c r="F65" s="1" t="s">
        <v>38</v>
      </c>
      <c r="H65" s="36" t="s">
        <v>233</v>
      </c>
    </row>
    <row r="67" spans="1:8">
      <c r="A67" s="1" t="s">
        <v>199</v>
      </c>
      <c r="B67">
        <f>Database!E58</f>
        <v>110</v>
      </c>
      <c r="C67">
        <f>Database!B62</f>
        <v>270</v>
      </c>
      <c r="D67">
        <f>Database!E71</f>
        <v>192</v>
      </c>
      <c r="E67" s="3">
        <f>D67-(C67+B67)</f>
        <v>-188</v>
      </c>
      <c r="F67" s="5">
        <f>E67/65</f>
        <v>-2.8923076923076922</v>
      </c>
    </row>
    <row r="68" spans="1:8">
      <c r="A68" s="1" t="s">
        <v>172</v>
      </c>
      <c r="B68">
        <f>Database!F58</f>
        <v>305</v>
      </c>
      <c r="C68">
        <f>Database!B62</f>
        <v>270</v>
      </c>
      <c r="D68">
        <f>Database!E72</f>
        <v>384</v>
      </c>
      <c r="E68" s="3">
        <f t="shared" ref="E68:E73" si="11">D68-(C68+B68)</f>
        <v>-191</v>
      </c>
      <c r="F68" s="5">
        <f t="shared" ref="F68:F73" si="12">E68/65</f>
        <v>-2.9384615384615387</v>
      </c>
    </row>
    <row r="69" spans="1:8">
      <c r="A69" s="1" t="s">
        <v>200</v>
      </c>
      <c r="B69">
        <f>Database!E59</f>
        <v>495</v>
      </c>
      <c r="C69">
        <f>Database!B62</f>
        <v>270</v>
      </c>
      <c r="D69">
        <f>Database!E73</f>
        <v>384</v>
      </c>
      <c r="E69" s="3">
        <f t="shared" si="11"/>
        <v>-381</v>
      </c>
      <c r="F69" s="5">
        <f t="shared" si="12"/>
        <v>-5.8615384615384611</v>
      </c>
    </row>
    <row r="70" spans="1:8">
      <c r="A70" s="1" t="s">
        <v>173</v>
      </c>
      <c r="B70">
        <f>Database!F59</f>
        <v>695</v>
      </c>
      <c r="C70">
        <f>Database!B62</f>
        <v>270</v>
      </c>
      <c r="D70">
        <f>Database!E74</f>
        <v>768</v>
      </c>
      <c r="E70" s="3">
        <f t="shared" si="11"/>
        <v>-197</v>
      </c>
      <c r="F70" s="5">
        <f t="shared" si="12"/>
        <v>-3.0307692307692307</v>
      </c>
    </row>
    <row r="71" spans="1:8">
      <c r="A71" s="1" t="s">
        <v>201</v>
      </c>
      <c r="B71">
        <f>Database!E60</f>
        <v>1250</v>
      </c>
      <c r="C71">
        <f>Database!B62</f>
        <v>270</v>
      </c>
      <c r="D71">
        <f>Database!E75</f>
        <v>768</v>
      </c>
      <c r="E71" s="3">
        <f t="shared" si="11"/>
        <v>-752</v>
      </c>
      <c r="F71" s="5">
        <f t="shared" si="12"/>
        <v>-11.569230769230769</v>
      </c>
    </row>
    <row r="72" spans="1:8">
      <c r="A72" s="1" t="s">
        <v>174</v>
      </c>
      <c r="B72">
        <f>Database!F60</f>
        <v>1450</v>
      </c>
      <c r="C72">
        <f>Database!B62</f>
        <v>270</v>
      </c>
      <c r="D72">
        <f>Database!E76</f>
        <v>1380</v>
      </c>
      <c r="E72" s="3">
        <f t="shared" si="11"/>
        <v>-340</v>
      </c>
      <c r="F72" s="5">
        <f t="shared" si="12"/>
        <v>-5.2307692307692308</v>
      </c>
    </row>
    <row r="73" spans="1:8">
      <c r="A73" s="1" t="s">
        <v>202</v>
      </c>
      <c r="B73">
        <v>690</v>
      </c>
      <c r="C73">
        <f>Database!B62</f>
        <v>270</v>
      </c>
      <c r="D73">
        <f>Database!E77</f>
        <v>765</v>
      </c>
      <c r="E73" s="3">
        <f t="shared" si="11"/>
        <v>-195</v>
      </c>
      <c r="F73" s="5">
        <f t="shared" si="12"/>
        <v>-3</v>
      </c>
    </row>
  </sheetData>
  <conditionalFormatting sqref="G31:G36 I31:I36 I43:I48 G43:G48 H19:H24 F19:F24 J55:K60">
    <cfRule type="cellIs" dxfId="18" priority="8" operator="greaterThan">
      <formula>-1</formula>
    </cfRule>
  </conditionalFormatting>
  <conditionalFormatting sqref="G31:G36 I31:I36 I43:I48 G43:G48 H19:H24 F19:F24">
    <cfRule type="cellIs" dxfId="17" priority="7" operator="lessThanOrEqual">
      <formula>-1</formula>
    </cfRule>
  </conditionalFormatting>
  <conditionalFormatting sqref="J55:K60 E67:F73">
    <cfRule type="cellIs" dxfId="16" priority="5" operator="lessThan">
      <formula>0</formula>
    </cfRule>
    <cfRule type="cellIs" dxfId="15" priority="6" operator="greaterThanOrEqual">
      <formula>0</formula>
    </cfRule>
  </conditionalFormatting>
  <conditionalFormatting sqref="F9:F12 H9:H12">
    <cfRule type="cellIs" dxfId="14" priority="3" operator="lessThan">
      <formula>0</formula>
    </cfRule>
    <cfRule type="cellIs" dxfId="13" priority="4" operator="greaterThanOrEqual">
      <formula>0</formula>
    </cfRule>
  </conditionalFormatting>
  <conditionalFormatting sqref="H55:H60">
    <cfRule type="cellIs" dxfId="12" priority="1" operator="greaterThanOrEqual">
      <formula>0</formula>
    </cfRule>
    <cfRule type="cellIs" dxfId="11" priority="2" operator="lessThan">
      <formula>0</formula>
    </cfRule>
  </conditionalFormatting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workbookViewId="0">
      <selection activeCell="C10" sqref="C10"/>
    </sheetView>
  </sheetViews>
  <sheetFormatPr baseColWidth="10" defaultRowHeight="15" x14ac:dyDescent="0"/>
  <cols>
    <col min="4" max="4" width="17" bestFit="1" customWidth="1"/>
    <col min="5" max="5" width="14.6640625" customWidth="1"/>
    <col min="6" max="6" width="12.33203125" customWidth="1"/>
  </cols>
  <sheetData>
    <row r="1" spans="1:9" ht="25">
      <c r="F1" s="20" t="s">
        <v>19</v>
      </c>
    </row>
    <row r="2" spans="1:9">
      <c r="F2" s="21" t="s">
        <v>221</v>
      </c>
    </row>
    <row r="3" spans="1:9" ht="25">
      <c r="A3" s="17" t="s">
        <v>260</v>
      </c>
    </row>
    <row r="6" spans="1:9">
      <c r="A6" s="10" t="s">
        <v>261</v>
      </c>
      <c r="D6" s="1" t="s">
        <v>263</v>
      </c>
    </row>
    <row r="8" spans="1:9">
      <c r="A8" s="1" t="s">
        <v>262</v>
      </c>
      <c r="B8" s="1" t="s">
        <v>187</v>
      </c>
      <c r="C8" s="1" t="s">
        <v>264</v>
      </c>
      <c r="D8" s="1" t="s">
        <v>265</v>
      </c>
      <c r="E8" s="1" t="s">
        <v>277</v>
      </c>
      <c r="F8" s="1" t="s">
        <v>278</v>
      </c>
      <c r="G8" s="1" t="s">
        <v>27</v>
      </c>
      <c r="H8" s="1" t="s">
        <v>37</v>
      </c>
      <c r="I8" s="1" t="s">
        <v>38</v>
      </c>
    </row>
    <row r="9" spans="1:9">
      <c r="A9" t="s">
        <v>276</v>
      </c>
      <c r="B9">
        <v>1</v>
      </c>
      <c r="C9">
        <v>34</v>
      </c>
      <c r="D9">
        <v>34</v>
      </c>
      <c r="E9" s="6">
        <f>Database!B91</f>
        <v>40</v>
      </c>
      <c r="F9" s="6">
        <f>Database!C91</f>
        <v>100</v>
      </c>
      <c r="G9">
        <f>F9-E9</f>
        <v>60</v>
      </c>
      <c r="H9">
        <v>30</v>
      </c>
      <c r="I9" s="41">
        <f>G9/H9</f>
        <v>2</v>
      </c>
    </row>
    <row r="10" spans="1:9">
      <c r="A10" t="s">
        <v>266</v>
      </c>
      <c r="B10">
        <v>15</v>
      </c>
      <c r="C10">
        <v>50</v>
      </c>
      <c r="D10">
        <v>50</v>
      </c>
      <c r="E10" s="6">
        <f>Database!B92</f>
        <v>90</v>
      </c>
      <c r="F10" s="6">
        <f>Database!C92</f>
        <v>60</v>
      </c>
      <c r="G10">
        <f t="shared" ref="G10:G19" si="0">F10-E10</f>
        <v>-30</v>
      </c>
      <c r="H10">
        <v>70</v>
      </c>
      <c r="I10" s="41">
        <f t="shared" ref="I10:I19" si="1">G10/H10</f>
        <v>-0.42857142857142855</v>
      </c>
    </row>
    <row r="11" spans="1:9">
      <c r="A11" t="s">
        <v>267</v>
      </c>
      <c r="B11">
        <v>25</v>
      </c>
      <c r="C11">
        <v>58</v>
      </c>
      <c r="D11">
        <v>58</v>
      </c>
      <c r="E11" s="6">
        <f>Database!B93</f>
        <v>95</v>
      </c>
      <c r="F11" s="6">
        <f>Database!C93</f>
        <v>85</v>
      </c>
      <c r="G11">
        <f t="shared" si="0"/>
        <v>-10</v>
      </c>
      <c r="H11">
        <v>90</v>
      </c>
      <c r="I11" s="41">
        <f t="shared" si="1"/>
        <v>-0.1111111111111111</v>
      </c>
    </row>
    <row r="12" spans="1:9">
      <c r="A12" t="s">
        <v>268</v>
      </c>
      <c r="B12">
        <v>30</v>
      </c>
      <c r="C12">
        <v>65</v>
      </c>
      <c r="D12">
        <v>65</v>
      </c>
      <c r="E12" s="6">
        <f>Database!B94</f>
        <v>145</v>
      </c>
      <c r="F12" s="6">
        <f>Database!C94</f>
        <v>95</v>
      </c>
      <c r="G12">
        <f t="shared" si="0"/>
        <v>-50</v>
      </c>
      <c r="H12">
        <v>100</v>
      </c>
      <c r="I12" s="41">
        <f t="shared" si="1"/>
        <v>-0.5</v>
      </c>
    </row>
    <row r="13" spans="1:9">
      <c r="A13" t="s">
        <v>269</v>
      </c>
      <c r="B13">
        <v>30</v>
      </c>
      <c r="C13" s="40" t="s">
        <v>279</v>
      </c>
      <c r="D13" s="40" t="s">
        <v>279</v>
      </c>
      <c r="E13" s="6">
        <f>Database!B95</f>
        <v>1500</v>
      </c>
      <c r="F13" s="6">
        <f>Database!C95</f>
        <v>1700</v>
      </c>
      <c r="G13">
        <f t="shared" si="0"/>
        <v>200</v>
      </c>
      <c r="H13">
        <v>190</v>
      </c>
      <c r="I13" s="41">
        <f t="shared" si="1"/>
        <v>1.0526315789473684</v>
      </c>
    </row>
    <row r="14" spans="1:9">
      <c r="A14" t="s">
        <v>270</v>
      </c>
      <c r="B14">
        <v>40</v>
      </c>
      <c r="C14">
        <v>74</v>
      </c>
      <c r="D14">
        <v>68</v>
      </c>
      <c r="E14" s="6">
        <f>Database!B96</f>
        <v>180</v>
      </c>
      <c r="F14" s="6">
        <f>Database!C96</f>
        <v>190</v>
      </c>
      <c r="G14">
        <f t="shared" si="0"/>
        <v>10</v>
      </c>
      <c r="H14">
        <v>120</v>
      </c>
      <c r="I14" s="41">
        <f t="shared" si="1"/>
        <v>8.3333333333333329E-2</v>
      </c>
    </row>
    <row r="15" spans="1:9">
      <c r="A15" t="s">
        <v>271</v>
      </c>
      <c r="B15">
        <v>45</v>
      </c>
      <c r="C15">
        <v>86</v>
      </c>
      <c r="D15">
        <v>81</v>
      </c>
      <c r="E15" s="6">
        <f>Database!B97</f>
        <v>190</v>
      </c>
      <c r="F15" s="6">
        <f>Database!C97</f>
        <v>210</v>
      </c>
      <c r="G15">
        <f t="shared" si="0"/>
        <v>20</v>
      </c>
      <c r="H15">
        <v>140</v>
      </c>
      <c r="I15" s="41">
        <f t="shared" si="1"/>
        <v>0.14285714285714285</v>
      </c>
    </row>
    <row r="16" spans="1:9">
      <c r="A16" t="s">
        <v>272</v>
      </c>
      <c r="B16">
        <v>62</v>
      </c>
      <c r="C16">
        <v>92</v>
      </c>
      <c r="D16">
        <v>90</v>
      </c>
      <c r="E16" s="6">
        <f>Database!B98</f>
        <v>390</v>
      </c>
      <c r="F16" s="6">
        <f>Database!C98</f>
        <v>390</v>
      </c>
      <c r="G16">
        <f t="shared" si="0"/>
        <v>0</v>
      </c>
      <c r="H16">
        <v>150</v>
      </c>
      <c r="I16" s="41">
        <f t="shared" si="1"/>
        <v>0</v>
      </c>
    </row>
    <row r="17" spans="1:9">
      <c r="A17" t="s">
        <v>273</v>
      </c>
      <c r="B17">
        <v>80</v>
      </c>
      <c r="C17" s="40" t="s">
        <v>279</v>
      </c>
      <c r="D17" s="40">
        <v>94</v>
      </c>
      <c r="E17" s="6">
        <f>Database!B99</f>
        <v>610</v>
      </c>
      <c r="F17" s="6">
        <f>Database!C99</f>
        <v>720</v>
      </c>
      <c r="G17">
        <f t="shared" si="0"/>
        <v>110</v>
      </c>
      <c r="H17">
        <v>210</v>
      </c>
      <c r="I17" s="41">
        <f t="shared" si="1"/>
        <v>0.52380952380952384</v>
      </c>
    </row>
    <row r="18" spans="1:9">
      <c r="A18" t="s">
        <v>274</v>
      </c>
      <c r="B18">
        <v>82</v>
      </c>
      <c r="C18" s="40" t="s">
        <v>279</v>
      </c>
      <c r="D18" s="40" t="s">
        <v>279</v>
      </c>
      <c r="E18" s="6">
        <v>1</v>
      </c>
      <c r="F18" s="6">
        <v>1</v>
      </c>
      <c r="G18">
        <f t="shared" si="0"/>
        <v>0</v>
      </c>
      <c r="H18">
        <v>211.3</v>
      </c>
      <c r="I18" s="41">
        <f t="shared" si="1"/>
        <v>0</v>
      </c>
    </row>
    <row r="19" spans="1:9">
      <c r="A19" t="s">
        <v>275</v>
      </c>
      <c r="B19">
        <v>91</v>
      </c>
      <c r="C19" s="40" t="s">
        <v>279</v>
      </c>
      <c r="D19" s="40" t="s">
        <v>279</v>
      </c>
      <c r="E19" s="6">
        <v>1</v>
      </c>
      <c r="F19" s="6">
        <v>1</v>
      </c>
      <c r="G19">
        <f t="shared" si="0"/>
        <v>0</v>
      </c>
      <c r="H19">
        <v>216.3</v>
      </c>
      <c r="I19" s="41">
        <f t="shared" si="1"/>
        <v>0</v>
      </c>
    </row>
    <row r="20" spans="1:9">
      <c r="C20" s="40"/>
      <c r="D20" s="40"/>
    </row>
    <row r="21" spans="1:9">
      <c r="A21" s="27" t="s">
        <v>281</v>
      </c>
      <c r="B21" s="22"/>
      <c r="C21" s="22"/>
      <c r="D21" s="22"/>
      <c r="E21" s="22"/>
    </row>
    <row r="22" spans="1:9">
      <c r="A22" s="22"/>
      <c r="B22" s="22"/>
      <c r="C22" s="22"/>
      <c r="D22" s="22"/>
      <c r="E22" s="22"/>
    </row>
    <row r="23" spans="1:9">
      <c r="A23" s="27" t="s">
        <v>292</v>
      </c>
      <c r="I23" s="1"/>
    </row>
    <row r="25" spans="1:9">
      <c r="A25" s="28" t="s">
        <v>41</v>
      </c>
      <c r="B25" s="28" t="s">
        <v>287</v>
      </c>
      <c r="C25" s="28" t="s">
        <v>44</v>
      </c>
      <c r="D25" s="28" t="s">
        <v>291</v>
      </c>
      <c r="E25" s="28" t="s">
        <v>289</v>
      </c>
    </row>
    <row r="26" spans="1:9">
      <c r="A26" s="42" t="s">
        <v>282</v>
      </c>
      <c r="B26" t="s">
        <v>276</v>
      </c>
      <c r="C26" s="6">
        <v>81</v>
      </c>
      <c r="D26" s="6">
        <f>C26*-E9</f>
        <v>-3240</v>
      </c>
      <c r="E26" s="6">
        <f>C26*G9</f>
        <v>4860</v>
      </c>
    </row>
    <row r="27" spans="1:9">
      <c r="A27" s="43" t="s">
        <v>283</v>
      </c>
      <c r="B27" t="s">
        <v>266</v>
      </c>
      <c r="C27" s="6">
        <v>78</v>
      </c>
      <c r="D27" s="6">
        <f>C27*-E10</f>
        <v>-7020</v>
      </c>
      <c r="E27" s="6">
        <f>C27*G10</f>
        <v>-2340</v>
      </c>
    </row>
    <row r="28" spans="1:9">
      <c r="A28" s="43" t="s">
        <v>284</v>
      </c>
      <c r="B28" t="s">
        <v>267</v>
      </c>
      <c r="C28" s="6">
        <v>327</v>
      </c>
      <c r="D28" s="6">
        <f>C28*-E11</f>
        <v>-31065</v>
      </c>
      <c r="E28" s="6">
        <f>C28*G11</f>
        <v>-3270</v>
      </c>
    </row>
    <row r="29" spans="1:9">
      <c r="A29" s="43" t="s">
        <v>286</v>
      </c>
      <c r="B29" t="s">
        <v>270</v>
      </c>
      <c r="C29" s="6">
        <v>44243</v>
      </c>
      <c r="D29" s="6">
        <f>C29*-E14</f>
        <v>-7963740</v>
      </c>
      <c r="E29" s="6">
        <f>C29*G14</f>
        <v>442430</v>
      </c>
    </row>
    <row r="30" spans="1:9">
      <c r="A30" s="43" t="s">
        <v>285</v>
      </c>
      <c r="B30" t="s">
        <v>273</v>
      </c>
      <c r="C30" s="6">
        <v>36610</v>
      </c>
      <c r="D30" s="6">
        <f>C30*-E17</f>
        <v>-22332100</v>
      </c>
      <c r="E30" s="6">
        <f>C30*G17</f>
        <v>4027100</v>
      </c>
    </row>
    <row r="31" spans="1:9">
      <c r="A31" s="43"/>
    </row>
    <row r="32" spans="1:9">
      <c r="A32" s="1"/>
      <c r="C32" s="1" t="s">
        <v>290</v>
      </c>
      <c r="D32" s="6">
        <f>SUM(D26:D30)</f>
        <v>-30337165</v>
      </c>
      <c r="E32" s="6">
        <f>SUM(E26:E30)</f>
        <v>4468780</v>
      </c>
    </row>
    <row r="33" spans="1:1">
      <c r="A33" s="43"/>
    </row>
    <row r="34" spans="1:1">
      <c r="A34" s="43"/>
    </row>
    <row r="35" spans="1:1">
      <c r="A35" s="27" t="s">
        <v>288</v>
      </c>
    </row>
  </sheetData>
  <conditionalFormatting sqref="G9:G19 I9:I19">
    <cfRule type="cellIs" dxfId="10" priority="3" operator="greaterThanOrEqual">
      <formula>0</formula>
    </cfRule>
    <cfRule type="cellIs" dxfId="9" priority="4" operator="lessThan">
      <formula>0</formula>
    </cfRule>
  </conditionalFormatting>
  <conditionalFormatting sqref="D26:E30 D32:E32">
    <cfRule type="cellIs" dxfId="8" priority="1" operator="lessThan">
      <formula>0</formula>
    </cfRule>
    <cfRule type="cellIs" dxfId="7" priority="2" operator="greaterThanOrEqual">
      <formula>0</formula>
    </cfRule>
  </conditionalFormatting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workbookViewId="0">
      <selection activeCell="C23" sqref="C23"/>
    </sheetView>
  </sheetViews>
  <sheetFormatPr baseColWidth="10" defaultRowHeight="15" x14ac:dyDescent="0"/>
  <cols>
    <col min="1" max="1" width="12.1640625" customWidth="1"/>
    <col min="3" max="3" width="12.5" customWidth="1"/>
    <col min="6" max="6" width="12.83203125" customWidth="1"/>
    <col min="7" max="7" width="10.83203125" customWidth="1"/>
  </cols>
  <sheetData>
    <row r="1" spans="1:6" ht="25">
      <c r="F1" s="20" t="s">
        <v>19</v>
      </c>
    </row>
    <row r="2" spans="1:6">
      <c r="F2" s="21" t="s">
        <v>221</v>
      </c>
    </row>
    <row r="6" spans="1:6" ht="25">
      <c r="A6" s="44" t="s">
        <v>323</v>
      </c>
      <c r="B6" s="44"/>
      <c r="C6" s="45"/>
      <c r="D6" s="45"/>
    </row>
    <row r="7" spans="1:6">
      <c r="A7" s="45"/>
      <c r="B7" s="45"/>
      <c r="C7" s="45"/>
      <c r="D7" s="45"/>
    </row>
    <row r="8" spans="1:6">
      <c r="A8" s="19" t="s">
        <v>337</v>
      </c>
    </row>
    <row r="10" spans="1:6">
      <c r="A10" s="12" t="s">
        <v>324</v>
      </c>
      <c r="B10" s="12" t="s">
        <v>325</v>
      </c>
      <c r="C10" s="12" t="s">
        <v>326</v>
      </c>
      <c r="D10" s="12" t="s">
        <v>38</v>
      </c>
    </row>
    <row r="11" spans="1:6">
      <c r="A11" s="45"/>
      <c r="B11" s="45"/>
      <c r="C11" s="45"/>
      <c r="D11" s="45"/>
    </row>
    <row r="12" spans="1:6">
      <c r="A12" s="12" t="s">
        <v>335</v>
      </c>
      <c r="B12" s="45">
        <f>Database!B109+Database!B113</f>
        <v>500</v>
      </c>
      <c r="C12" s="45">
        <v>29</v>
      </c>
      <c r="D12" s="46">
        <f>-B12/C12</f>
        <v>-17.241379310344829</v>
      </c>
    </row>
    <row r="13" spans="1:6">
      <c r="A13" s="12" t="s">
        <v>176</v>
      </c>
      <c r="B13" s="45">
        <f>Database!B110</f>
        <v>450</v>
      </c>
      <c r="C13" s="45">
        <v>60</v>
      </c>
      <c r="D13" s="46">
        <f t="shared" ref="D13:D15" si="0">-B13/C13</f>
        <v>-7.5</v>
      </c>
    </row>
    <row r="14" spans="1:6">
      <c r="A14" s="12" t="s">
        <v>327</v>
      </c>
      <c r="B14" s="45">
        <f>Database!B111</f>
        <v>850</v>
      </c>
      <c r="C14" s="45">
        <v>90</v>
      </c>
      <c r="D14" s="46">
        <f t="shared" si="0"/>
        <v>-9.4444444444444446</v>
      </c>
    </row>
    <row r="15" spans="1:6">
      <c r="A15" s="12" t="s">
        <v>328</v>
      </c>
      <c r="B15" s="45">
        <f>Database!B112</f>
        <v>1750</v>
      </c>
      <c r="C15" s="45">
        <v>140</v>
      </c>
      <c r="D15" s="46">
        <f t="shared" si="0"/>
        <v>-12.5</v>
      </c>
    </row>
    <row r="17" spans="1:6">
      <c r="E17" s="1" t="s">
        <v>342</v>
      </c>
    </row>
    <row r="18" spans="1:6">
      <c r="E18" s="1" t="s">
        <v>343</v>
      </c>
    </row>
    <row r="19" spans="1:6">
      <c r="A19" s="19" t="s">
        <v>338</v>
      </c>
    </row>
    <row r="20" spans="1:6">
      <c r="F20" s="1"/>
    </row>
    <row r="21" spans="1:6">
      <c r="A21" s="12" t="s">
        <v>324</v>
      </c>
      <c r="B21" s="12" t="s">
        <v>325</v>
      </c>
      <c r="C21" s="1" t="s">
        <v>345</v>
      </c>
      <c r="D21" s="1" t="s">
        <v>346</v>
      </c>
      <c r="E21" s="12" t="s">
        <v>326</v>
      </c>
      <c r="F21" s="48" t="s">
        <v>344</v>
      </c>
    </row>
    <row r="22" spans="1:6">
      <c r="A22" s="45"/>
      <c r="B22" s="45"/>
      <c r="E22" s="45"/>
      <c r="F22" s="45"/>
    </row>
    <row r="23" spans="1:6">
      <c r="A23" s="12" t="s">
        <v>335</v>
      </c>
      <c r="B23" s="45">
        <f>Database!B109+Database!B113</f>
        <v>500</v>
      </c>
      <c r="C23">
        <f>IF(A30 = "Demon", 10000, (IF(A30 = "Butler", 5000, IF(A30 = "Cook", 3000, 0))))</f>
        <v>10000</v>
      </c>
      <c r="D23">
        <f>C23/10</f>
        <v>1000</v>
      </c>
      <c r="E23" s="45">
        <v>29</v>
      </c>
      <c r="F23" s="46">
        <f>(B23+(D23/26))/E23</f>
        <v>18.567639257294431</v>
      </c>
    </row>
    <row r="24" spans="1:6">
      <c r="A24" s="12" t="s">
        <v>176</v>
      </c>
      <c r="B24" s="45">
        <f>Database!B110</f>
        <v>450</v>
      </c>
      <c r="C24">
        <f>IF(A30 = "Demon", 10000, (IF(A30 = "Butler", 5000, IF(A30 = "Cook", 3000, 0))))</f>
        <v>10000</v>
      </c>
      <c r="D24">
        <f t="shared" ref="D24:D26" si="1">C24/10</f>
        <v>1000</v>
      </c>
      <c r="E24" s="45">
        <v>60</v>
      </c>
      <c r="F24" s="46">
        <f t="shared" ref="F24:F26" si="2">(B24+(D24/26))/E24</f>
        <v>8.1410256410256405</v>
      </c>
    </row>
    <row r="25" spans="1:6">
      <c r="A25" s="12" t="s">
        <v>327</v>
      </c>
      <c r="B25" s="45">
        <f>Database!B111</f>
        <v>850</v>
      </c>
      <c r="C25">
        <f>IF(A30 = "Demon", 10000, (IF(A30 = "Butler", 5000, IF(A30 = "Cook", 3000, 0))))</f>
        <v>10000</v>
      </c>
      <c r="D25">
        <f t="shared" si="1"/>
        <v>1000</v>
      </c>
      <c r="E25" s="45">
        <v>90</v>
      </c>
      <c r="F25" s="46">
        <f t="shared" si="2"/>
        <v>9.8717948717948723</v>
      </c>
    </row>
    <row r="26" spans="1:6">
      <c r="A26" s="12" t="s">
        <v>328</v>
      </c>
      <c r="B26" s="45">
        <f>Database!B112</f>
        <v>1750</v>
      </c>
      <c r="C26">
        <f>IF(A30 = "Demon", 10000, (IF(A30 = "Butler", 5000, IF(A30 = "Cook", 3000, 0))))</f>
        <v>10000</v>
      </c>
      <c r="D26">
        <f t="shared" si="1"/>
        <v>1000</v>
      </c>
      <c r="E26" s="45">
        <v>140</v>
      </c>
      <c r="F26" s="46">
        <f t="shared" si="2"/>
        <v>12.774725274725276</v>
      </c>
    </row>
    <row r="28" spans="1:6">
      <c r="A28" s="10" t="s">
        <v>347</v>
      </c>
    </row>
    <row r="29" spans="1:6">
      <c r="A29" s="10" t="s">
        <v>348</v>
      </c>
    </row>
    <row r="30" spans="1:6" ht="18">
      <c r="A30" s="49" t="s">
        <v>349</v>
      </c>
    </row>
  </sheetData>
  <conditionalFormatting sqref="D12:D15">
    <cfRule type="cellIs" dxfId="6" priority="3" operator="lessThan">
      <formula>0</formula>
    </cfRule>
    <cfRule type="cellIs" dxfId="5" priority="4" operator="greaterThanOrEqual">
      <formula>0</formula>
    </cfRule>
  </conditionalFormatting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workbookViewId="0">
      <selection activeCell="K22" sqref="K22"/>
    </sheetView>
  </sheetViews>
  <sheetFormatPr baseColWidth="10" defaultRowHeight="15" x14ac:dyDescent="0"/>
  <cols>
    <col min="1" max="1" width="14.1640625" customWidth="1"/>
    <col min="4" max="4" width="13" bestFit="1" customWidth="1"/>
    <col min="5" max="5" width="11.5" customWidth="1"/>
    <col min="7" max="7" width="11.1640625" bestFit="1" customWidth="1"/>
  </cols>
  <sheetData>
    <row r="1" spans="1:11" ht="25">
      <c r="F1" s="20" t="s">
        <v>19</v>
      </c>
    </row>
    <row r="2" spans="1:11">
      <c r="F2" s="21" t="s">
        <v>221</v>
      </c>
    </row>
    <row r="3" spans="1:11" ht="25">
      <c r="A3" s="17" t="s">
        <v>350</v>
      </c>
    </row>
    <row r="5" spans="1:11">
      <c r="A5" s="10" t="s">
        <v>351</v>
      </c>
    </row>
    <row r="6" spans="1:11">
      <c r="J6" s="1" t="s">
        <v>371</v>
      </c>
    </row>
    <row r="7" spans="1:11">
      <c r="A7" s="1" t="s">
        <v>294</v>
      </c>
      <c r="B7" s="1" t="s">
        <v>353</v>
      </c>
      <c r="C7" s="1" t="s">
        <v>379</v>
      </c>
      <c r="D7" s="1" t="s">
        <v>356</v>
      </c>
      <c r="E7" s="1" t="s">
        <v>357</v>
      </c>
      <c r="F7" s="1" t="s">
        <v>358</v>
      </c>
      <c r="G7" s="1" t="s">
        <v>364</v>
      </c>
      <c r="H7" s="1" t="s">
        <v>365</v>
      </c>
      <c r="I7" s="1" t="s">
        <v>366</v>
      </c>
      <c r="J7" s="1" t="s">
        <v>373</v>
      </c>
      <c r="K7" s="1" t="s">
        <v>374</v>
      </c>
    </row>
    <row r="9" spans="1:11">
      <c r="A9" s="1" t="s">
        <v>176</v>
      </c>
      <c r="B9" t="str">
        <f>Database!D100</f>
        <v>Acorn</v>
      </c>
      <c r="C9">
        <v>15</v>
      </c>
      <c r="D9">
        <f>Database!E100</f>
        <v>2000</v>
      </c>
      <c r="E9" t="s">
        <v>359</v>
      </c>
      <c r="F9">
        <f>Database!F100*Database!G100</f>
        <v>875</v>
      </c>
      <c r="G9">
        <v>14</v>
      </c>
      <c r="H9">
        <v>467.3</v>
      </c>
      <c r="I9">
        <f>G9+H9</f>
        <v>481.3</v>
      </c>
      <c r="J9" s="24" t="s">
        <v>375</v>
      </c>
      <c r="K9" s="41">
        <f>IF(J9="Yes",(D9+F9)/I9,((D9+(D9*0.125))/I9))</f>
        <v>4.6748389777685437</v>
      </c>
    </row>
    <row r="10" spans="1:11">
      <c r="A10" s="1" t="s">
        <v>177</v>
      </c>
      <c r="B10" t="str">
        <f>Database!D101</f>
        <v>Willow</v>
      </c>
      <c r="C10">
        <v>30</v>
      </c>
      <c r="D10">
        <f>Database!E101</f>
        <v>7000</v>
      </c>
      <c r="E10" t="s">
        <v>360</v>
      </c>
      <c r="F10">
        <f>Database!F101*Database!G101</f>
        <v>1125</v>
      </c>
      <c r="G10">
        <v>25</v>
      </c>
      <c r="H10">
        <v>1456.5</v>
      </c>
      <c r="I10">
        <f t="shared" ref="I10:I14" si="0">G10+H10</f>
        <v>1481.5</v>
      </c>
      <c r="J10" s="24" t="s">
        <v>372</v>
      </c>
      <c r="K10" s="41">
        <f t="shared" ref="K10:K13" si="1">IF(J10="Yes",(D10+F10)/I10,((D10+(D10*0.125))/I10))</f>
        <v>5.4843064461694233</v>
      </c>
    </row>
    <row r="11" spans="1:11">
      <c r="A11" s="1" t="s">
        <v>178</v>
      </c>
      <c r="B11" t="str">
        <f>Database!D102</f>
        <v>Maple</v>
      </c>
      <c r="C11">
        <v>45</v>
      </c>
      <c r="D11">
        <f>Database!E102</f>
        <v>25000</v>
      </c>
      <c r="E11" t="s">
        <v>361</v>
      </c>
      <c r="F11">
        <f>Database!F102*Database!G102</f>
        <v>3000</v>
      </c>
      <c r="G11">
        <v>45</v>
      </c>
      <c r="H11">
        <v>3403.4</v>
      </c>
      <c r="I11">
        <f t="shared" si="0"/>
        <v>3448.4</v>
      </c>
      <c r="J11" s="24" t="s">
        <v>372</v>
      </c>
      <c r="K11" s="41">
        <f t="shared" si="1"/>
        <v>8.1197076905231409</v>
      </c>
    </row>
    <row r="12" spans="1:11">
      <c r="A12" s="1" t="s">
        <v>179</v>
      </c>
      <c r="B12" t="str">
        <f>Database!D103</f>
        <v>Yew</v>
      </c>
      <c r="C12">
        <v>60</v>
      </c>
      <c r="D12">
        <f>Database!E103</f>
        <v>57500</v>
      </c>
      <c r="E12" t="s">
        <v>362</v>
      </c>
      <c r="F12">
        <f>Database!F103*Database!G103</f>
        <v>23000</v>
      </c>
      <c r="G12">
        <v>81</v>
      </c>
      <c r="H12">
        <v>7069.9</v>
      </c>
      <c r="I12">
        <f t="shared" si="0"/>
        <v>7150.9</v>
      </c>
      <c r="J12" s="24" t="s">
        <v>375</v>
      </c>
      <c r="K12" s="41">
        <f t="shared" si="1"/>
        <v>9.0460641317876078</v>
      </c>
    </row>
    <row r="13" spans="1:11">
      <c r="A13" s="1" t="s">
        <v>139</v>
      </c>
      <c r="B13" t="str">
        <f>Database!D104</f>
        <v>Magic</v>
      </c>
      <c r="C13">
        <v>75</v>
      </c>
      <c r="D13">
        <f>Database!E104</f>
        <v>130000</v>
      </c>
      <c r="E13" t="s">
        <v>363</v>
      </c>
      <c r="F13">
        <f>Database!F104*Database!G104</f>
        <v>56250</v>
      </c>
      <c r="G13">
        <v>145.5</v>
      </c>
      <c r="H13">
        <v>13768.3</v>
      </c>
      <c r="I13">
        <f t="shared" si="0"/>
        <v>13913.8</v>
      </c>
      <c r="J13" s="24" t="s">
        <v>375</v>
      </c>
      <c r="K13" s="41">
        <f t="shared" si="1"/>
        <v>10.511147206370655</v>
      </c>
    </row>
    <row r="14" spans="1:11">
      <c r="A14" s="1" t="s">
        <v>376</v>
      </c>
      <c r="B14" t="str">
        <f>Database!D105</f>
        <v>Calquat</v>
      </c>
      <c r="C14">
        <v>72</v>
      </c>
      <c r="D14">
        <f>Database!E105</f>
        <v>15000</v>
      </c>
      <c r="E14" t="s">
        <v>377</v>
      </c>
      <c r="F14">
        <f>Database!F105*Database!G105</f>
        <v>16000</v>
      </c>
      <c r="G14">
        <v>129.5</v>
      </c>
      <c r="H14">
        <v>12096</v>
      </c>
      <c r="I14">
        <f t="shared" si="0"/>
        <v>12225.5</v>
      </c>
      <c r="J14" s="24" t="s">
        <v>375</v>
      </c>
      <c r="K14" s="41">
        <f t="shared" ref="K14" si="2">IF(J14="Yes",(D14+F14)/I14,((D14+(D14*0.125))/I14))</f>
        <v>1.3803116436955545</v>
      </c>
    </row>
    <row r="16" spans="1:11">
      <c r="A16" s="10" t="s">
        <v>378</v>
      </c>
    </row>
    <row r="18" spans="1:8">
      <c r="A18" s="10" t="s">
        <v>367</v>
      </c>
      <c r="B18" s="1" t="s">
        <v>368</v>
      </c>
    </row>
    <row r="20" spans="1:8">
      <c r="A20" s="1" t="s">
        <v>294</v>
      </c>
      <c r="B20" s="1" t="s">
        <v>353</v>
      </c>
      <c r="C20" s="1" t="s">
        <v>356</v>
      </c>
      <c r="D20" s="1" t="s">
        <v>357</v>
      </c>
      <c r="E20" s="1" t="s">
        <v>358</v>
      </c>
      <c r="F20" s="1" t="s">
        <v>369</v>
      </c>
      <c r="G20" s="1" t="s">
        <v>370</v>
      </c>
      <c r="H20" s="1" t="s">
        <v>371</v>
      </c>
    </row>
    <row r="22" spans="1:8">
      <c r="A22" s="1" t="s">
        <v>176</v>
      </c>
      <c r="B22" t="str">
        <f>Database!D100</f>
        <v>Acorn</v>
      </c>
      <c r="C22">
        <f>Database!E100</f>
        <v>2000</v>
      </c>
      <c r="D22" t="s">
        <v>359</v>
      </c>
      <c r="E22">
        <f>Database!F100*Database!G100</f>
        <v>875</v>
      </c>
      <c r="F22" s="55">
        <v>0.125</v>
      </c>
      <c r="G22" s="40">
        <f>(8*E22)-C22</f>
        <v>5000</v>
      </c>
      <c r="H22" s="56" t="str">
        <f>IF(G22 &lt; 0, "Yes", "No")</f>
        <v>No</v>
      </c>
    </row>
    <row r="23" spans="1:8">
      <c r="A23" s="1" t="s">
        <v>177</v>
      </c>
      <c r="B23" t="str">
        <f>Database!D101</f>
        <v>Willow</v>
      </c>
      <c r="C23">
        <f>Database!E101</f>
        <v>7000</v>
      </c>
      <c r="D23" t="s">
        <v>360</v>
      </c>
      <c r="E23">
        <f>Database!F101*Database!G101</f>
        <v>1125</v>
      </c>
      <c r="F23" s="55">
        <v>0.125</v>
      </c>
      <c r="G23" s="40">
        <f t="shared" ref="G23:G26" si="3">(8*E23)-C23</f>
        <v>2000</v>
      </c>
      <c r="H23" s="56" t="str">
        <f t="shared" ref="H23:H27" si="4">IF(G23 &lt; 0, "Yes", "No")</f>
        <v>No</v>
      </c>
    </row>
    <row r="24" spans="1:8">
      <c r="A24" s="1" t="s">
        <v>178</v>
      </c>
      <c r="B24" t="str">
        <f>Database!D102</f>
        <v>Maple</v>
      </c>
      <c r="C24">
        <f>Database!E102</f>
        <v>25000</v>
      </c>
      <c r="D24" t="s">
        <v>361</v>
      </c>
      <c r="E24">
        <f>Database!F102*Database!G102</f>
        <v>3000</v>
      </c>
      <c r="F24" s="55">
        <v>0.125</v>
      </c>
      <c r="G24" s="40">
        <f t="shared" si="3"/>
        <v>-1000</v>
      </c>
      <c r="H24" s="56" t="str">
        <f t="shared" si="4"/>
        <v>Yes</v>
      </c>
    </row>
    <row r="25" spans="1:8">
      <c r="A25" s="1" t="s">
        <v>179</v>
      </c>
      <c r="B25" t="str">
        <f>Database!D103</f>
        <v>Yew</v>
      </c>
      <c r="C25">
        <f>Database!E103</f>
        <v>57500</v>
      </c>
      <c r="D25" t="s">
        <v>362</v>
      </c>
      <c r="E25">
        <f>Database!F103*Database!G103</f>
        <v>23000</v>
      </c>
      <c r="F25" s="55">
        <v>0.125</v>
      </c>
      <c r="G25" s="40">
        <f t="shared" si="3"/>
        <v>126500</v>
      </c>
      <c r="H25" s="56" t="str">
        <f t="shared" si="4"/>
        <v>No</v>
      </c>
    </row>
    <row r="26" spans="1:8">
      <c r="A26" s="1" t="s">
        <v>139</v>
      </c>
      <c r="B26" t="str">
        <f>Database!D104</f>
        <v>Magic</v>
      </c>
      <c r="C26">
        <f>Database!E104</f>
        <v>130000</v>
      </c>
      <c r="D26" t="s">
        <v>363</v>
      </c>
      <c r="E26">
        <f>Database!F104*Database!G104</f>
        <v>56250</v>
      </c>
      <c r="F26" s="55">
        <v>0.125</v>
      </c>
      <c r="G26" s="40">
        <f t="shared" si="3"/>
        <v>320000</v>
      </c>
      <c r="H26" s="56" t="str">
        <f t="shared" si="4"/>
        <v>No</v>
      </c>
    </row>
    <row r="27" spans="1:8">
      <c r="A27" s="1" t="s">
        <v>376</v>
      </c>
      <c r="B27" t="str">
        <f>Database!D105</f>
        <v>Calquat</v>
      </c>
      <c r="C27">
        <f>Database!E105</f>
        <v>15000</v>
      </c>
      <c r="D27" t="s">
        <v>377</v>
      </c>
      <c r="E27">
        <f>Database!F105*Database!G105</f>
        <v>16000</v>
      </c>
      <c r="F27" s="55">
        <v>0.125</v>
      </c>
      <c r="G27" s="40">
        <f t="shared" ref="G27" si="5">(8*E27)-C27</f>
        <v>113000</v>
      </c>
      <c r="H27" s="56" t="str">
        <f t="shared" si="4"/>
        <v>No</v>
      </c>
    </row>
  </sheetData>
  <conditionalFormatting sqref="G22:G27">
    <cfRule type="cellIs" dxfId="4" priority="2" operator="greaterThan">
      <formula>0</formula>
    </cfRule>
    <cfRule type="cellIs" dxfId="3" priority="3" operator="lessThanOrEqual">
      <formula>0</formula>
    </cfRule>
  </conditionalFormatting>
  <conditionalFormatting sqref="K9:K14">
    <cfRule type="cellIs" dxfId="2" priority="1" operator="greaterThan">
      <formula>-10000000</formula>
    </cfRule>
  </conditionalFormatting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NMZ</vt:lpstr>
      <vt:lpstr>Herblore</vt:lpstr>
      <vt:lpstr>Unid Calc</vt:lpstr>
      <vt:lpstr>Decanting</vt:lpstr>
      <vt:lpstr>Gem and Crafting Calcs</vt:lpstr>
      <vt:lpstr>Fletching and Alching</vt:lpstr>
      <vt:lpstr>Cooking</vt:lpstr>
      <vt:lpstr>Construction</vt:lpstr>
      <vt:lpstr>Farming</vt:lpstr>
      <vt:lpstr>Other</vt:lpstr>
      <vt:lpstr>Database</vt:lpstr>
    </vt:vector>
  </TitlesOfParts>
  <Company>University of New Hampshire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 Vachon</dc:creator>
  <cp:lastModifiedBy>Jack Vachon</cp:lastModifiedBy>
  <dcterms:created xsi:type="dcterms:W3CDTF">2013-11-18T01:43:56Z</dcterms:created>
  <dcterms:modified xsi:type="dcterms:W3CDTF">2014-01-26T04:48:59Z</dcterms:modified>
</cp:coreProperties>
</file>