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/>
  <bookViews>
    <workbookView xWindow="0" yWindow="0" windowWidth="2190" windowHeight="1110" tabRatio="852"/>
  </bookViews>
  <sheets>
    <sheet name="Drive 266" sheetId="1" r:id="rId1"/>
    <sheet name="Cálculos" sheetId="2" state="hidden" r:id="rId2"/>
    <sheet name="Calibrador" sheetId="3" state="hidden" r:id="rId3"/>
  </sheets>
  <externalReferences>
    <externalReference r:id="rId4"/>
  </externalReferences>
  <definedNames>
    <definedName name="alturanegativa">#REF!</definedName>
    <definedName name="alturapositiva">#REF!</definedName>
    <definedName name="Alturas">#REF!</definedName>
    <definedName name="Alturasn">#REF!</definedName>
    <definedName name="Alturasp">#REF!</definedName>
    <definedName name="hwi6i">'[1]6igontijo'!$O$4:$P$64</definedName>
  </definedNames>
  <calcPr calcId="124519"/>
</workbook>
</file>

<file path=xl/calcChain.xml><?xml version="1.0" encoding="utf-8"?>
<calcChain xmlns="http://schemas.openxmlformats.org/spreadsheetml/2006/main">
  <c r="B9" i="1"/>
  <c r="O111" i="3" l="1"/>
  <c r="O110" s="1"/>
  <c r="O109" s="1"/>
  <c r="O108" s="1"/>
  <c r="O107" s="1"/>
  <c r="O106" s="1"/>
  <c r="O105" s="1"/>
  <c r="O104" s="1"/>
  <c r="O103" s="1"/>
  <c r="O102" s="1"/>
  <c r="O101" s="1"/>
  <c r="O100" s="1"/>
  <c r="O99" s="1"/>
  <c r="O98" s="1"/>
  <c r="O97" s="1"/>
  <c r="O96" s="1"/>
  <c r="O95" s="1"/>
  <c r="O94" s="1"/>
  <c r="O93" s="1"/>
  <c r="O92" s="1"/>
  <c r="O91" s="1"/>
  <c r="O90" s="1"/>
  <c r="O89" s="1"/>
  <c r="O88" s="1"/>
  <c r="O87" s="1"/>
  <c r="O86" s="1"/>
  <c r="O85" s="1"/>
  <c r="O84" s="1"/>
  <c r="O83" s="1"/>
  <c r="O82" s="1"/>
  <c r="O81" s="1"/>
  <c r="O80" s="1"/>
  <c r="O79" s="1"/>
  <c r="O78" s="1"/>
  <c r="O77" s="1"/>
  <c r="O76" s="1"/>
  <c r="O75" s="1"/>
  <c r="O74" s="1"/>
  <c r="O73" s="1"/>
  <c r="O72" s="1"/>
  <c r="O71" s="1"/>
  <c r="O70" s="1"/>
  <c r="O69" s="1"/>
  <c r="O68" s="1"/>
  <c r="O67" s="1"/>
  <c r="O66" s="1"/>
  <c r="O65" s="1"/>
  <c r="O64" s="1"/>
  <c r="O63" s="1"/>
  <c r="O62" s="1"/>
  <c r="O61" s="1"/>
  <c r="O60" s="1"/>
  <c r="O59" s="1"/>
  <c r="O58" s="1"/>
  <c r="O57" s="1"/>
  <c r="O56" s="1"/>
  <c r="O55" s="1"/>
  <c r="O54" s="1"/>
  <c r="O53" s="1"/>
  <c r="O52" s="1"/>
  <c r="O51" s="1"/>
  <c r="O50" s="1"/>
  <c r="O49" s="1"/>
  <c r="O48" s="1"/>
  <c r="O47" s="1"/>
  <c r="O46" s="1"/>
  <c r="O45" s="1"/>
  <c r="O44" s="1"/>
  <c r="O43" s="1"/>
  <c r="O42" s="1"/>
  <c r="O41" s="1"/>
  <c r="O40" s="1"/>
  <c r="O39" s="1"/>
  <c r="O38" s="1"/>
  <c r="O37" s="1"/>
  <c r="O36" s="1"/>
  <c r="O35" s="1"/>
  <c r="O34" s="1"/>
  <c r="O33" s="1"/>
  <c r="O32" s="1"/>
  <c r="O31" s="1"/>
  <c r="O30" s="1"/>
  <c r="O29" s="1"/>
  <c r="O28" s="1"/>
  <c r="O27" s="1"/>
  <c r="O26" s="1"/>
  <c r="O25" s="1"/>
  <c r="O24" s="1"/>
  <c r="O23" s="1"/>
  <c r="O22" s="1"/>
  <c r="O21" s="1"/>
  <c r="O20" s="1"/>
  <c r="O19" s="1"/>
  <c r="O18" s="1"/>
  <c r="O17" s="1"/>
  <c r="O16" s="1"/>
  <c r="O15" s="1"/>
  <c r="O14" s="1"/>
  <c r="O13" s="1"/>
  <c r="O12" s="1"/>
  <c r="O11" s="1"/>
  <c r="O10" s="1"/>
  <c r="O9" s="1"/>
  <c r="O8" s="1"/>
  <c r="O7" s="1"/>
  <c r="O6" s="1"/>
  <c r="O5" s="1"/>
  <c r="O4" s="1"/>
  <c r="M111" s="1"/>
  <c r="M110" s="1"/>
  <c r="M109" s="1"/>
  <c r="M108" s="1"/>
  <c r="M107" s="1"/>
  <c r="M106" s="1"/>
  <c r="M105" s="1"/>
  <c r="M104" s="1"/>
  <c r="M103" s="1"/>
  <c r="M102" s="1"/>
  <c r="M101" s="1"/>
  <c r="M100" s="1"/>
  <c r="M99" s="1"/>
  <c r="M98" s="1"/>
  <c r="M97" s="1"/>
  <c r="M96" s="1"/>
  <c r="M95" s="1"/>
  <c r="M94" s="1"/>
  <c r="M93" s="1"/>
  <c r="M92" s="1"/>
  <c r="M91" s="1"/>
  <c r="M90" s="1"/>
  <c r="M89" s="1"/>
  <c r="M88" s="1"/>
  <c r="M87" s="1"/>
  <c r="M86" s="1"/>
  <c r="M85" s="1"/>
  <c r="M84" s="1"/>
  <c r="M83" s="1"/>
  <c r="M82" s="1"/>
  <c r="M81" s="1"/>
  <c r="M80" s="1"/>
  <c r="M79" s="1"/>
  <c r="M78" s="1"/>
  <c r="M77" s="1"/>
  <c r="M76" s="1"/>
  <c r="M75" s="1"/>
  <c r="M74" s="1"/>
  <c r="M73" s="1"/>
  <c r="M72" s="1"/>
  <c r="M71" s="1"/>
  <c r="M70" s="1"/>
  <c r="M69" s="1"/>
  <c r="M68" s="1"/>
  <c r="M67" s="1"/>
  <c r="M66" s="1"/>
  <c r="M65" s="1"/>
  <c r="M64" s="1"/>
  <c r="M63" s="1"/>
  <c r="M62" s="1"/>
  <c r="M61" s="1"/>
  <c r="M60" s="1"/>
  <c r="M59" s="1"/>
  <c r="M58" s="1"/>
  <c r="M57" s="1"/>
  <c r="M56" s="1"/>
  <c r="M55" s="1"/>
  <c r="M54" s="1"/>
  <c r="M53" s="1"/>
  <c r="M52" s="1"/>
  <c r="M51" s="1"/>
  <c r="M50" s="1"/>
  <c r="M49" s="1"/>
  <c r="M48" s="1"/>
  <c r="M47" s="1"/>
  <c r="M46" s="1"/>
  <c r="M45" s="1"/>
  <c r="M44" s="1"/>
  <c r="M43" s="1"/>
  <c r="M42" s="1"/>
  <c r="M41" s="1"/>
  <c r="M40" s="1"/>
  <c r="M39" s="1"/>
  <c r="M38" s="1"/>
  <c r="M37" s="1"/>
  <c r="M36" s="1"/>
  <c r="M35" s="1"/>
  <c r="M34" s="1"/>
  <c r="M33" s="1"/>
  <c r="M32" s="1"/>
  <c r="M31" s="1"/>
  <c r="M30" s="1"/>
  <c r="M29" s="1"/>
  <c r="M28" s="1"/>
  <c r="M27" s="1"/>
  <c r="M26" s="1"/>
  <c r="M25" s="1"/>
  <c r="M24" s="1"/>
  <c r="M23" s="1"/>
  <c r="M22" s="1"/>
  <c r="M21" s="1"/>
  <c r="M20" s="1"/>
  <c r="M19" s="1"/>
  <c r="M18" s="1"/>
  <c r="M17" s="1"/>
  <c r="M16" s="1"/>
  <c r="M15" s="1"/>
  <c r="M14" s="1"/>
  <c r="M13" s="1"/>
  <c r="M12" s="1"/>
  <c r="M11" s="1"/>
  <c r="M10" s="1"/>
  <c r="M9" s="1"/>
  <c r="M8" s="1"/>
  <c r="M7" s="1"/>
  <c r="M6" s="1"/>
  <c r="M5" s="1"/>
  <c r="M4" s="1"/>
  <c r="K111" s="1"/>
  <c r="K110" s="1"/>
  <c r="K109" s="1"/>
  <c r="K108" s="1"/>
  <c r="K107" s="1"/>
  <c r="K106" s="1"/>
  <c r="K105" s="1"/>
  <c r="K104" s="1"/>
  <c r="K103" s="1"/>
  <c r="K102" s="1"/>
  <c r="K101" s="1"/>
  <c r="K100" s="1"/>
  <c r="K99" s="1"/>
  <c r="K98" s="1"/>
  <c r="K97" s="1"/>
  <c r="K96" s="1"/>
  <c r="K95" s="1"/>
  <c r="K94" s="1"/>
  <c r="K93" s="1"/>
  <c r="K92" s="1"/>
  <c r="K91" s="1"/>
  <c r="K90" s="1"/>
  <c r="K89" s="1"/>
  <c r="K88" s="1"/>
  <c r="K87" s="1"/>
  <c r="K86" s="1"/>
  <c r="K85" s="1"/>
  <c r="K84" s="1"/>
  <c r="K83" s="1"/>
  <c r="K82" s="1"/>
  <c r="K81" s="1"/>
  <c r="K80" s="1"/>
  <c r="K79" s="1"/>
  <c r="K78" s="1"/>
  <c r="K77" s="1"/>
  <c r="K76" s="1"/>
  <c r="K75" s="1"/>
  <c r="K74" s="1"/>
  <c r="K73" s="1"/>
  <c r="K72" s="1"/>
  <c r="K71" s="1"/>
  <c r="K70" s="1"/>
  <c r="K69" s="1"/>
  <c r="K68" s="1"/>
  <c r="K67" s="1"/>
  <c r="K66" s="1"/>
  <c r="K65" s="1"/>
  <c r="K64" s="1"/>
  <c r="K63" s="1"/>
  <c r="K62" s="1"/>
  <c r="K61" s="1"/>
  <c r="K60" s="1"/>
  <c r="K59" s="1"/>
  <c r="K58" s="1"/>
  <c r="K57" s="1"/>
  <c r="K56" s="1"/>
  <c r="K55" s="1"/>
  <c r="K54" s="1"/>
  <c r="K53" s="1"/>
  <c r="K52" s="1"/>
  <c r="K51" s="1"/>
  <c r="K50" s="1"/>
  <c r="K49" s="1"/>
  <c r="K48" s="1"/>
  <c r="K47" s="1"/>
  <c r="K46" s="1"/>
  <c r="K45" s="1"/>
  <c r="K44" s="1"/>
  <c r="K43" s="1"/>
  <c r="K42" s="1"/>
  <c r="K41" s="1"/>
  <c r="K40" s="1"/>
  <c r="K39" s="1"/>
  <c r="K38" s="1"/>
  <c r="K37" s="1"/>
  <c r="K36" s="1"/>
  <c r="K35" s="1"/>
  <c r="K34" s="1"/>
  <c r="K33" s="1"/>
  <c r="K32" s="1"/>
  <c r="K31" s="1"/>
  <c r="K30" s="1"/>
  <c r="K29" s="1"/>
  <c r="K28" s="1"/>
  <c r="K27" s="1"/>
  <c r="K26" s="1"/>
  <c r="K25" s="1"/>
  <c r="K24" s="1"/>
  <c r="K23" s="1"/>
  <c r="K22" s="1"/>
  <c r="K21" s="1"/>
  <c r="K20" s="1"/>
  <c r="K19" s="1"/>
  <c r="K18" s="1"/>
  <c r="K17" s="1"/>
  <c r="K16" s="1"/>
  <c r="K15" s="1"/>
  <c r="K14" s="1"/>
  <c r="K13" s="1"/>
  <c r="K12" s="1"/>
  <c r="K11" s="1"/>
  <c r="K10" s="1"/>
  <c r="K9" s="1"/>
  <c r="K8" s="1"/>
  <c r="K7" s="1"/>
  <c r="K6" s="1"/>
  <c r="K5" s="1"/>
  <c r="K4" s="1"/>
  <c r="K3" s="1"/>
  <c r="J4"/>
  <c r="J5" s="1"/>
  <c r="J6" l="1"/>
  <c r="S46" i="2"/>
  <c r="S47"/>
  <c r="E46"/>
  <c r="E47"/>
  <c r="J7" i="3" l="1"/>
  <c r="W50" i="2"/>
  <c r="W49"/>
  <c r="S44"/>
  <c r="P45"/>
  <c r="V33"/>
  <c r="V32"/>
  <c r="J8" i="3" l="1"/>
  <c r="S49" i="2"/>
  <c r="W51"/>
  <c r="V34"/>
  <c r="V31" s="1"/>
  <c r="B14" i="1" s="1"/>
  <c r="J9" i="3" l="1"/>
  <c r="W47" i="2"/>
  <c r="W48"/>
  <c r="I49"/>
  <c r="I50"/>
  <c r="J10" i="3" l="1"/>
  <c r="M26" i="2"/>
  <c r="J11" i="3" l="1"/>
  <c r="B45" i="2"/>
  <c r="T41"/>
  <c r="E32" s="1"/>
  <c r="R41"/>
  <c r="P41"/>
  <c r="AG4" s="1"/>
  <c r="J12" i="3" l="1"/>
  <c r="E18" i="2"/>
  <c r="E19"/>
  <c r="S18"/>
  <c r="S4"/>
  <c r="S5"/>
  <c r="AT4"/>
  <c r="AG18"/>
  <c r="AT18"/>
  <c r="AT19"/>
  <c r="AG19"/>
  <c r="AG5"/>
  <c r="S19"/>
  <c r="E4"/>
  <c r="E33"/>
  <c r="AT5"/>
  <c r="E5"/>
  <c r="B17"/>
  <c r="AQ3"/>
  <c r="AQ17"/>
  <c r="P3"/>
  <c r="B31"/>
  <c r="AD17"/>
  <c r="P17"/>
  <c r="B3"/>
  <c r="AD3"/>
  <c r="AK7" s="1"/>
  <c r="L2"/>
  <c r="W44" s="1"/>
  <c r="L1"/>
  <c r="J13" i="3" l="1"/>
  <c r="AT2" i="2"/>
  <c r="AT7" s="1"/>
  <c r="AT16"/>
  <c r="AX18" s="1"/>
  <c r="AX20" s="1"/>
  <c r="P44"/>
  <c r="P46" s="1"/>
  <c r="P47" s="1"/>
  <c r="AQ16"/>
  <c r="AQ18" s="1"/>
  <c r="AQ2"/>
  <c r="AQ4" s="1"/>
  <c r="W46"/>
  <c r="P54" s="1"/>
  <c r="X55" s="1"/>
  <c r="X54" s="1"/>
  <c r="W45"/>
  <c r="P53" s="1"/>
  <c r="W55" s="1"/>
  <c r="W54" s="1"/>
  <c r="AX21"/>
  <c r="AX16"/>
  <c r="AX7"/>
  <c r="AX2"/>
  <c r="W7"/>
  <c r="AK21"/>
  <c r="AG2"/>
  <c r="AK4" s="1"/>
  <c r="AK6" s="1"/>
  <c r="AD2"/>
  <c r="AD16"/>
  <c r="P16"/>
  <c r="P2"/>
  <c r="B16"/>
  <c r="AX4" l="1"/>
  <c r="AQ12" s="1"/>
  <c r="AY11" s="1"/>
  <c r="AY10" s="1"/>
  <c r="AT21"/>
  <c r="AQ19" s="1"/>
  <c r="AQ5"/>
  <c r="J14" i="3"/>
  <c r="AX3" i="2"/>
  <c r="AQ11" s="1"/>
  <c r="AX11" s="1"/>
  <c r="AX10" s="1"/>
  <c r="AX17"/>
  <c r="AX19" s="1"/>
  <c r="Q9" i="1"/>
  <c r="Q8"/>
  <c r="R9"/>
  <c r="R8"/>
  <c r="P49" i="2"/>
  <c r="Q7" i="1" s="1"/>
  <c r="P50" i="2"/>
  <c r="R7" i="1" s="1"/>
  <c r="AQ26" i="2"/>
  <c r="AY26" s="1"/>
  <c r="BA16" s="1"/>
  <c r="AG7"/>
  <c r="B18"/>
  <c r="I44"/>
  <c r="I51"/>
  <c r="AG16"/>
  <c r="AK17" s="1"/>
  <c r="AK19" s="1"/>
  <c r="AK3"/>
  <c r="AK5" s="1"/>
  <c r="W21"/>
  <c r="AK2"/>
  <c r="AD4"/>
  <c r="S2"/>
  <c r="E44"/>
  <c r="E49" s="1"/>
  <c r="E30"/>
  <c r="A3" i="3"/>
  <c r="B44" i="2"/>
  <c r="B46" s="1"/>
  <c r="AX5" l="1"/>
  <c r="AQ7" s="1"/>
  <c r="E17" i="1" s="1"/>
  <c r="AX6" i="2"/>
  <c r="AQ8" s="1"/>
  <c r="F17" i="1" s="1"/>
  <c r="J15" i="3"/>
  <c r="AQ25" i="2"/>
  <c r="AX26" s="1"/>
  <c r="BA21"/>
  <c r="BA20" s="1"/>
  <c r="J21" i="1"/>
  <c r="F19"/>
  <c r="F18"/>
  <c r="E19"/>
  <c r="E18"/>
  <c r="AQ22" i="2"/>
  <c r="J20" i="1" s="1"/>
  <c r="AQ21" i="2"/>
  <c r="I20" i="1" s="1"/>
  <c r="S7" i="2"/>
  <c r="W4"/>
  <c r="W6" s="1"/>
  <c r="AK18"/>
  <c r="AK20" s="1"/>
  <c r="I32"/>
  <c r="I34" s="1"/>
  <c r="I31"/>
  <c r="I33" s="1"/>
  <c r="E35"/>
  <c r="AD5"/>
  <c r="AD7" s="1"/>
  <c r="E12" i="1" s="1"/>
  <c r="AG21" i="2"/>
  <c r="AD12"/>
  <c r="AD11"/>
  <c r="AK16"/>
  <c r="S16"/>
  <c r="I35"/>
  <c r="W16"/>
  <c r="I48"/>
  <c r="I46" s="1"/>
  <c r="B54" s="1"/>
  <c r="B47"/>
  <c r="B50" s="1"/>
  <c r="R2" i="1" s="1"/>
  <c r="P18" i="2"/>
  <c r="AD18"/>
  <c r="W3"/>
  <c r="W5" s="1"/>
  <c r="W2"/>
  <c r="P4"/>
  <c r="I47"/>
  <c r="I45" s="1"/>
  <c r="B53" s="1"/>
  <c r="B30"/>
  <c r="B32" s="1"/>
  <c r="I30"/>
  <c r="B2"/>
  <c r="A4" i="3"/>
  <c r="J16" l="1"/>
  <c r="AY24" i="2"/>
  <c r="J23" i="1" s="1"/>
  <c r="AZ16" i="2"/>
  <c r="AZ17" s="1"/>
  <c r="AZ18" s="1"/>
  <c r="AX25" s="1"/>
  <c r="I21" i="1"/>
  <c r="BA17" i="2"/>
  <c r="BA18" s="1"/>
  <c r="AY25" s="1"/>
  <c r="J22" i="1" s="1"/>
  <c r="S21" i="2"/>
  <c r="P19" s="1"/>
  <c r="W17"/>
  <c r="W19" s="1"/>
  <c r="B39"/>
  <c r="I40" s="1"/>
  <c r="I39" s="1"/>
  <c r="W18"/>
  <c r="W20" s="1"/>
  <c r="AD8"/>
  <c r="F12" i="1" s="1"/>
  <c r="B33" i="2"/>
  <c r="AD19"/>
  <c r="AD21" s="1"/>
  <c r="I14" i="1" s="1"/>
  <c r="P5" i="2"/>
  <c r="P7" s="1"/>
  <c r="E7" i="1" s="1"/>
  <c r="J55" i="2"/>
  <c r="B40"/>
  <c r="AD25"/>
  <c r="AK26" s="1"/>
  <c r="AM16" s="1"/>
  <c r="AD26"/>
  <c r="P12"/>
  <c r="X11" s="1"/>
  <c r="P11"/>
  <c r="W11" s="1"/>
  <c r="AK11"/>
  <c r="AL11"/>
  <c r="B49"/>
  <c r="Q2" i="1" s="1"/>
  <c r="B4" i="2"/>
  <c r="I7"/>
  <c r="E2"/>
  <c r="I2"/>
  <c r="A5" i="3"/>
  <c r="J17" l="1"/>
  <c r="AZ21" i="2"/>
  <c r="AZ20" s="1"/>
  <c r="AX24" s="1"/>
  <c r="I23" i="1" s="1"/>
  <c r="F13"/>
  <c r="AL10" i="2"/>
  <c r="E13" i="1"/>
  <c r="AK10" i="2"/>
  <c r="E8" i="1"/>
  <c r="W10" i="2"/>
  <c r="F8" i="1"/>
  <c r="X10" i="2"/>
  <c r="R3" i="1"/>
  <c r="J54" i="2"/>
  <c r="I22" i="1"/>
  <c r="I4" i="2"/>
  <c r="I6" s="1"/>
  <c r="E7"/>
  <c r="B5" s="1"/>
  <c r="M3" i="1"/>
  <c r="J40" i="2"/>
  <c r="J39" s="1"/>
  <c r="I3"/>
  <c r="I5" s="1"/>
  <c r="B35"/>
  <c r="M2" i="1" s="1"/>
  <c r="B36" i="2"/>
  <c r="N2" i="1" s="1"/>
  <c r="AD22" i="2"/>
  <c r="J14" i="1" s="1"/>
  <c r="P8" i="2"/>
  <c r="F7" i="1" s="1"/>
  <c r="P26" i="2"/>
  <c r="P25"/>
  <c r="AL26"/>
  <c r="AN16" s="1"/>
  <c r="P22"/>
  <c r="J8" i="1" s="1"/>
  <c r="P21" i="2"/>
  <c r="I8" i="1" s="1"/>
  <c r="E16" i="2"/>
  <c r="I18" s="1"/>
  <c r="I55"/>
  <c r="I16"/>
  <c r="I21"/>
  <c r="A6" i="3"/>
  <c r="J18" l="1"/>
  <c r="Q3" i="1"/>
  <c r="I54" i="2"/>
  <c r="AN17"/>
  <c r="AN18" s="1"/>
  <c r="AL25" s="1"/>
  <c r="J15" i="1"/>
  <c r="AM17" i="2"/>
  <c r="AM18" s="1"/>
  <c r="AK25" s="1"/>
  <c r="I15" i="1"/>
  <c r="N3"/>
  <c r="I20" i="2"/>
  <c r="I17"/>
  <c r="I19" s="1"/>
  <c r="E21"/>
  <c r="B19" s="1"/>
  <c r="B11"/>
  <c r="I11" s="1"/>
  <c r="I10" s="1"/>
  <c r="B12"/>
  <c r="J11" s="1"/>
  <c r="J10" s="1"/>
  <c r="B7"/>
  <c r="E2" i="1" s="1"/>
  <c r="X26" i="2"/>
  <c r="W26"/>
  <c r="B8"/>
  <c r="F2" i="1" s="1"/>
  <c r="A7" i="3"/>
  <c r="J19" l="1"/>
  <c r="I9" i="1"/>
  <c r="Y16" i="2"/>
  <c r="Y17" s="1"/>
  <c r="Y18" s="1"/>
  <c r="W25" s="1"/>
  <c r="J9" i="1"/>
  <c r="Z16" i="2"/>
  <c r="Z21" s="1"/>
  <c r="Z20" s="1"/>
  <c r="AN21"/>
  <c r="AN20" s="1"/>
  <c r="AM21"/>
  <c r="AM20" s="1"/>
  <c r="AK24" s="1"/>
  <c r="B25"/>
  <c r="I26" s="1"/>
  <c r="K16" s="1"/>
  <c r="B22"/>
  <c r="J2" i="1" s="1"/>
  <c r="B26" i="2"/>
  <c r="J26" s="1"/>
  <c r="L16" s="1"/>
  <c r="B21"/>
  <c r="I2" i="1" s="1"/>
  <c r="E3"/>
  <c r="F3"/>
  <c r="A8" i="3"/>
  <c r="J20" l="1"/>
  <c r="X24" i="2"/>
  <c r="J11" i="1" s="1"/>
  <c r="AL24" i="2"/>
  <c r="J17" i="1" s="1"/>
  <c r="I17"/>
  <c r="K17" i="2"/>
  <c r="Y21"/>
  <c r="Y20" s="1"/>
  <c r="W24" s="1"/>
  <c r="Z17"/>
  <c r="Z18" s="1"/>
  <c r="X25" s="1"/>
  <c r="A9" i="3"/>
  <c r="J21" l="1"/>
  <c r="I11" i="1"/>
  <c r="B10"/>
  <c r="K21" i="2"/>
  <c r="K20" s="1"/>
  <c r="I24" s="1"/>
  <c r="L21"/>
  <c r="L20" s="1"/>
  <c r="J24" s="1"/>
  <c r="L17"/>
  <c r="L18" s="1"/>
  <c r="J25" s="1"/>
  <c r="J3" i="1"/>
  <c r="K18" i="2"/>
  <c r="I25" s="1"/>
  <c r="I3" i="1"/>
  <c r="A10" i="3"/>
  <c r="J22" l="1"/>
  <c r="A11"/>
  <c r="J23" l="1"/>
  <c r="J5" i="1"/>
  <c r="A12" i="3"/>
  <c r="I5" i="1"/>
  <c r="J24" i="3" l="1"/>
  <c r="A13"/>
  <c r="J25" l="1"/>
  <c r="A14"/>
  <c r="J26" l="1"/>
  <c r="A15"/>
  <c r="J27" l="1"/>
  <c r="A16"/>
  <c r="J28" l="1"/>
  <c r="A17"/>
  <c r="J29" l="1"/>
  <c r="A18"/>
  <c r="J30" l="1"/>
  <c r="A19"/>
  <c r="J31" l="1"/>
  <c r="A20"/>
  <c r="J32" l="1"/>
  <c r="A21"/>
  <c r="J33" l="1"/>
  <c r="A22"/>
  <c r="J34" l="1"/>
  <c r="A23"/>
  <c r="J35" l="1"/>
  <c r="A24"/>
  <c r="J36" l="1"/>
  <c r="A25"/>
  <c r="J37" l="1"/>
  <c r="A26"/>
  <c r="J38" l="1"/>
  <c r="A27"/>
  <c r="J39" l="1"/>
  <c r="A28"/>
  <c r="J40" l="1"/>
  <c r="A29"/>
  <c r="J41" l="1"/>
  <c r="A30"/>
  <c r="J42" l="1"/>
  <c r="A31"/>
  <c r="J43" l="1"/>
  <c r="A32"/>
  <c r="J44" l="1"/>
  <c r="A33"/>
  <c r="J45" l="1"/>
  <c r="A34"/>
  <c r="J46" l="1"/>
  <c r="A35"/>
  <c r="J47" l="1"/>
  <c r="A36"/>
  <c r="J48" l="1"/>
  <c r="A37"/>
  <c r="J49" l="1"/>
  <c r="A38"/>
  <c r="J50" l="1"/>
  <c r="A39"/>
  <c r="J51" l="1"/>
  <c r="A40"/>
  <c r="J52" l="1"/>
  <c r="A41"/>
  <c r="J10" i="1"/>
  <c r="J53" i="3" l="1"/>
  <c r="A42"/>
  <c r="J54" l="1"/>
  <c r="A43"/>
  <c r="J55" l="1"/>
  <c r="A44"/>
  <c r="J56" l="1"/>
  <c r="A45"/>
  <c r="J57" l="1"/>
  <c r="A46"/>
  <c r="J58" l="1"/>
  <c r="A47"/>
  <c r="J59" l="1"/>
  <c r="A48"/>
  <c r="Q4" i="1"/>
  <c r="J60" i="3" l="1"/>
  <c r="A49"/>
  <c r="J61" l="1"/>
  <c r="A50"/>
  <c r="J62" l="1"/>
  <c r="A51"/>
  <c r="J63" l="1"/>
  <c r="A52"/>
  <c r="R4" i="1"/>
  <c r="J64" i="3" l="1"/>
  <c r="A53"/>
  <c r="J65" l="1"/>
  <c r="A54"/>
  <c r="J66" l="1"/>
  <c r="A55"/>
  <c r="J67" l="1"/>
  <c r="A56"/>
  <c r="J68" l="1"/>
  <c r="A57"/>
  <c r="J69" l="1"/>
  <c r="A58"/>
  <c r="J70" l="1"/>
  <c r="I16" i="1"/>
  <c r="J16"/>
  <c r="A59" i="3"/>
  <c r="J71" l="1"/>
  <c r="A60"/>
  <c r="J72" l="1"/>
  <c r="A61"/>
  <c r="J73" l="1"/>
  <c r="A62"/>
  <c r="J74" l="1"/>
  <c r="A63"/>
  <c r="J75" l="1"/>
  <c r="A64"/>
  <c r="E9" i="1"/>
  <c r="J76" i="3" l="1"/>
  <c r="A65"/>
  <c r="J77" l="1"/>
  <c r="A66"/>
  <c r="J78" l="1"/>
  <c r="A67"/>
  <c r="J79" l="1"/>
  <c r="A68"/>
  <c r="J80" l="1"/>
  <c r="A69"/>
  <c r="J81" l="1"/>
  <c r="A70"/>
  <c r="J82" l="1"/>
  <c r="A71"/>
  <c r="J83" l="1"/>
  <c r="A72"/>
  <c r="F9" i="1"/>
  <c r="J84" i="3" l="1"/>
  <c r="A73"/>
  <c r="J85" l="1"/>
  <c r="A74"/>
  <c r="J86" l="1"/>
  <c r="A75"/>
  <c r="J87" l="1"/>
  <c r="A76"/>
  <c r="J88" l="1"/>
  <c r="A77"/>
  <c r="J89" l="1"/>
  <c r="A78"/>
  <c r="E14" i="1"/>
  <c r="J90" i="3" l="1"/>
  <c r="A79"/>
  <c r="J91" l="1"/>
  <c r="A80"/>
  <c r="J92" l="1"/>
  <c r="A81"/>
  <c r="J93" l="1"/>
  <c r="A82"/>
  <c r="J94" l="1"/>
  <c r="A83"/>
  <c r="A84" s="1"/>
  <c r="J95" l="1"/>
  <c r="A85"/>
  <c r="J96" l="1"/>
  <c r="A86"/>
  <c r="J97" l="1"/>
  <c r="A87"/>
  <c r="J98" l="1"/>
  <c r="A88"/>
  <c r="F14" i="1"/>
  <c r="J99" i="3" l="1"/>
  <c r="E4" i="1"/>
  <c r="F4"/>
  <c r="A89" i="3"/>
  <c r="J100" l="1"/>
  <c r="A90"/>
  <c r="J101" l="1"/>
  <c r="A91"/>
  <c r="J102" l="1"/>
  <c r="A92"/>
  <c r="J103" l="1"/>
  <c r="A93"/>
  <c r="J104" l="1"/>
  <c r="A94"/>
  <c r="J105" l="1"/>
  <c r="A95"/>
  <c r="J106" l="1"/>
  <c r="A96"/>
  <c r="M4" i="1"/>
  <c r="J107" i="3" l="1"/>
  <c r="A97"/>
  <c r="J108" l="1"/>
  <c r="A98"/>
  <c r="J109" l="1"/>
  <c r="A99"/>
  <c r="N4" i="1"/>
  <c r="J110" i="3" l="1"/>
  <c r="A100"/>
  <c r="J111" l="1"/>
  <c r="L4" s="1"/>
  <c r="L5" s="1"/>
  <c r="L6" s="1"/>
  <c r="L7" s="1"/>
  <c r="L8" s="1"/>
  <c r="L9" s="1"/>
  <c r="L10" s="1"/>
  <c r="L11" s="1"/>
  <c r="L12" s="1"/>
  <c r="L13" s="1"/>
  <c r="L14" s="1"/>
  <c r="L15" s="1"/>
  <c r="L16" s="1"/>
  <c r="L17" s="1"/>
  <c r="L18" s="1"/>
  <c r="L19" s="1"/>
  <c r="L20" s="1"/>
  <c r="L21" s="1"/>
  <c r="L22" s="1"/>
  <c r="L23" s="1"/>
  <c r="L24" s="1"/>
  <c r="L25" s="1"/>
  <c r="L26" s="1"/>
  <c r="L27" s="1"/>
  <c r="L28" s="1"/>
  <c r="L29" s="1"/>
  <c r="L30" s="1"/>
  <c r="L31" s="1"/>
  <c r="L32" s="1"/>
  <c r="L33" s="1"/>
  <c r="L34" s="1"/>
  <c r="L35" s="1"/>
  <c r="L36" s="1"/>
  <c r="L37" s="1"/>
  <c r="L38" s="1"/>
  <c r="L39" s="1"/>
  <c r="L40" s="1"/>
  <c r="L41" s="1"/>
  <c r="L42" s="1"/>
  <c r="L43" s="1"/>
  <c r="L44" s="1"/>
  <c r="L45" s="1"/>
  <c r="L46" s="1"/>
  <c r="L47" s="1"/>
  <c r="L48" s="1"/>
  <c r="L49" s="1"/>
  <c r="L50" s="1"/>
  <c r="L51" s="1"/>
  <c r="L52" s="1"/>
  <c r="L53" s="1"/>
  <c r="L54" s="1"/>
  <c r="L55" s="1"/>
  <c r="L56" s="1"/>
  <c r="L57" s="1"/>
  <c r="L58" s="1"/>
  <c r="L59" s="1"/>
  <c r="L60" s="1"/>
  <c r="L61" s="1"/>
  <c r="L62" s="1"/>
  <c r="L63" s="1"/>
  <c r="L64" s="1"/>
  <c r="L65" s="1"/>
  <c r="L66" s="1"/>
  <c r="L67" s="1"/>
  <c r="L68" s="1"/>
  <c r="L69" s="1"/>
  <c r="L70" s="1"/>
  <c r="L71" s="1"/>
  <c r="L72" s="1"/>
  <c r="L73" s="1"/>
  <c r="L74" s="1"/>
  <c r="L75" s="1"/>
  <c r="L76" s="1"/>
  <c r="L77" s="1"/>
  <c r="L78" s="1"/>
  <c r="L79" s="1"/>
  <c r="L80" s="1"/>
  <c r="L81" s="1"/>
  <c r="L82" s="1"/>
  <c r="L83" s="1"/>
  <c r="L84" s="1"/>
  <c r="L85" s="1"/>
  <c r="L86" s="1"/>
  <c r="L87" s="1"/>
  <c r="L88" s="1"/>
  <c r="L89" s="1"/>
  <c r="L90" s="1"/>
  <c r="L91" s="1"/>
  <c r="L92" s="1"/>
  <c r="L93" s="1"/>
  <c r="L94" s="1"/>
  <c r="L95" s="1"/>
  <c r="L96" s="1"/>
  <c r="L97" s="1"/>
  <c r="L98" s="1"/>
  <c r="L99" s="1"/>
  <c r="L100" s="1"/>
  <c r="L101" s="1"/>
  <c r="L102" s="1"/>
  <c r="L103" s="1"/>
  <c r="L104" s="1"/>
  <c r="L105" s="1"/>
  <c r="L106" s="1"/>
  <c r="L107" s="1"/>
  <c r="L108" s="1"/>
  <c r="L109" s="1"/>
  <c r="L110" s="1"/>
  <c r="L111" s="1"/>
  <c r="N4" s="1"/>
  <c r="N5" s="1"/>
  <c r="N6" s="1"/>
  <c r="N7" s="1"/>
  <c r="N8" s="1"/>
  <c r="N9" s="1"/>
  <c r="N10" s="1"/>
  <c r="N11" s="1"/>
  <c r="N12" s="1"/>
  <c r="N13" s="1"/>
  <c r="N14" s="1"/>
  <c r="N15" s="1"/>
  <c r="N16" s="1"/>
  <c r="N17" s="1"/>
  <c r="N18" s="1"/>
  <c r="N19" s="1"/>
  <c r="N20" s="1"/>
  <c r="N21" s="1"/>
  <c r="N22" s="1"/>
  <c r="N23" s="1"/>
  <c r="N24" s="1"/>
  <c r="N25" s="1"/>
  <c r="N26" s="1"/>
  <c r="N27" s="1"/>
  <c r="N28" s="1"/>
  <c r="N29" s="1"/>
  <c r="N30" s="1"/>
  <c r="N31" s="1"/>
  <c r="N32" s="1"/>
  <c r="N33" s="1"/>
  <c r="N34" s="1"/>
  <c r="N35" s="1"/>
  <c r="N36" s="1"/>
  <c r="N37" s="1"/>
  <c r="N38" s="1"/>
  <c r="N39" s="1"/>
  <c r="N40" s="1"/>
  <c r="N41" s="1"/>
  <c r="N42" s="1"/>
  <c r="N43" s="1"/>
  <c r="N44" s="1"/>
  <c r="N45" s="1"/>
  <c r="N46" s="1"/>
  <c r="N47" s="1"/>
  <c r="N48" s="1"/>
  <c r="N49" s="1"/>
  <c r="N50" s="1"/>
  <c r="N51" s="1"/>
  <c r="N52" s="1"/>
  <c r="N53" s="1"/>
  <c r="N54" s="1"/>
  <c r="N55" s="1"/>
  <c r="N56" s="1"/>
  <c r="N57" s="1"/>
  <c r="N58" s="1"/>
  <c r="N59" s="1"/>
  <c r="N60" s="1"/>
  <c r="N61" s="1"/>
  <c r="N62" s="1"/>
  <c r="N63" s="1"/>
  <c r="N64" s="1"/>
  <c r="N65" s="1"/>
  <c r="N66" s="1"/>
  <c r="N67" s="1"/>
  <c r="N68" s="1"/>
  <c r="N69" s="1"/>
  <c r="N70" s="1"/>
  <c r="N71" s="1"/>
  <c r="N72" s="1"/>
  <c r="N73" s="1"/>
  <c r="N74" s="1"/>
  <c r="N75" s="1"/>
  <c r="N76" s="1"/>
  <c r="N77" s="1"/>
  <c r="N78" s="1"/>
  <c r="N79" s="1"/>
  <c r="N80" s="1"/>
  <c r="N81" s="1"/>
  <c r="N82" s="1"/>
  <c r="N83" s="1"/>
  <c r="N84" s="1"/>
  <c r="N85" s="1"/>
  <c r="N86" s="1"/>
  <c r="N87" s="1"/>
  <c r="N88" s="1"/>
  <c r="N89" s="1"/>
  <c r="N90" s="1"/>
  <c r="N91" s="1"/>
  <c r="N92" s="1"/>
  <c r="N93" s="1"/>
  <c r="N94" s="1"/>
  <c r="N95" s="1"/>
  <c r="N96" s="1"/>
  <c r="N97" s="1"/>
  <c r="N98" s="1"/>
  <c r="A101"/>
  <c r="J4" i="1"/>
  <c r="N99" i="3" l="1"/>
  <c r="N100" s="1"/>
  <c r="N101" s="1"/>
  <c r="N102" s="1"/>
  <c r="N103" s="1"/>
  <c r="N104" s="1"/>
  <c r="N105" s="1"/>
  <c r="N106" s="1"/>
  <c r="N107" s="1"/>
  <c r="N108" s="1"/>
  <c r="N109" s="1"/>
  <c r="N110" s="1"/>
  <c r="N111" s="1"/>
  <c r="A102"/>
  <c r="A103" l="1"/>
  <c r="A104" l="1"/>
  <c r="A105" l="1"/>
  <c r="I4" i="1"/>
  <c r="I10"/>
  <c r="A106" i="3" l="1"/>
  <c r="A107" l="1"/>
  <c r="A108" l="1"/>
  <c r="A109" l="1"/>
  <c r="A110" l="1"/>
</calcChain>
</file>

<file path=xl/sharedStrings.xml><?xml version="1.0" encoding="utf-8"?>
<sst xmlns="http://schemas.openxmlformats.org/spreadsheetml/2006/main" count="1007" uniqueCount="520">
  <si>
    <t>Altura</t>
  </si>
  <si>
    <t>Inf Vento</t>
  </si>
  <si>
    <t>Cosseno</t>
  </si>
  <si>
    <t>Seno</t>
  </si>
  <si>
    <t>Altura Real</t>
  </si>
  <si>
    <t>% Vento</t>
  </si>
  <si>
    <t>Vento Real Sem %H</t>
  </si>
  <si>
    <t>Dunk 1w</t>
  </si>
  <si>
    <t>Força</t>
  </si>
  <si>
    <t>Vento Real Com %H(V+)</t>
  </si>
  <si>
    <t>Vento Real Com %H(V-)</t>
  </si>
  <si>
    <t>%Altura/Vento(V+)</t>
  </si>
  <si>
    <t>%Altura/Vento(V-)</t>
  </si>
  <si>
    <t>Normal</t>
  </si>
  <si>
    <t>Dunk</t>
  </si>
  <si>
    <t>Tabela De Terrenos</t>
  </si>
  <si>
    <t>PIN</t>
  </si>
  <si>
    <t>HWI</t>
  </si>
  <si>
    <t>SPIN</t>
  </si>
  <si>
    <t>VF</t>
  </si>
  <si>
    <t>VB</t>
  </si>
  <si>
    <t>Dunk 2w</t>
  </si>
  <si>
    <t>Calibrador</t>
  </si>
  <si>
    <t>Dunk 3w</t>
  </si>
  <si>
    <t>Bs 1w</t>
  </si>
  <si>
    <t>Spike 1w</t>
  </si>
  <si>
    <t>Desvio Ball</t>
  </si>
  <si>
    <t>Desvio ball</t>
  </si>
  <si>
    <t>Vento*Cos</t>
  </si>
  <si>
    <t>HWI*INF</t>
  </si>
  <si>
    <t>Tomahawk</t>
  </si>
  <si>
    <t>Backspin</t>
  </si>
  <si>
    <t>Direção VF</t>
  </si>
  <si>
    <t>Direção VB</t>
  </si>
  <si>
    <t>Hwi*Vento*Cos</t>
  </si>
  <si>
    <t>Dist. Real VF</t>
  </si>
  <si>
    <t>Dist. Real VB</t>
  </si>
  <si>
    <t>Vento Real</t>
  </si>
  <si>
    <t>V. Real c/ % Alt. VF</t>
  </si>
  <si>
    <t>V. Real c/ % Alt. VB</t>
  </si>
  <si>
    <t>% Vento na Direção</t>
  </si>
  <si>
    <t>INF. Alt.</t>
  </si>
  <si>
    <t>+</t>
  </si>
  <si>
    <t>-</t>
  </si>
  <si>
    <t>sN</t>
  </si>
  <si>
    <t>INF</t>
  </si>
  <si>
    <t>Tomahawk 1w</t>
  </si>
  <si>
    <t>Tomahawk 2w</t>
  </si>
  <si>
    <t>Tomahawk 3w</t>
  </si>
  <si>
    <t>Terreno</t>
  </si>
  <si>
    <t>H-</t>
  </si>
  <si>
    <t>Ângulo</t>
  </si>
  <si>
    <t>X</t>
  </si>
  <si>
    <t>Y</t>
  </si>
  <si>
    <t>Dunk 1w - 1PS</t>
  </si>
  <si>
    <t>Spike 1w - 2PS</t>
  </si>
  <si>
    <t>Tomahawk 1w - 2PS</t>
  </si>
  <si>
    <t>266y</t>
  </si>
  <si>
    <t>275.2</t>
  </si>
  <si>
    <t>274.5</t>
  </si>
  <si>
    <t>273.7</t>
  </si>
  <si>
    <t>272.9</t>
  </si>
  <si>
    <t>276.0</t>
  </si>
  <si>
    <t>272.2</t>
  </si>
  <si>
    <t>271.4</t>
  </si>
  <si>
    <t>270.6</t>
  </si>
  <si>
    <t>269.9</t>
  </si>
  <si>
    <t>269.1</t>
  </si>
  <si>
    <t>268.3</t>
  </si>
  <si>
    <t>267.6</t>
  </si>
  <si>
    <t>266.8</t>
  </si>
  <si>
    <t>266.0</t>
  </si>
  <si>
    <t>265.3</t>
  </si>
  <si>
    <t>264.5</t>
  </si>
  <si>
    <t>263.7</t>
  </si>
  <si>
    <t>263.0</t>
  </si>
  <si>
    <t>262.2</t>
  </si>
  <si>
    <t>261.4</t>
  </si>
  <si>
    <t>260.7</t>
  </si>
  <si>
    <t>259.9</t>
  </si>
  <si>
    <t>259.1</t>
  </si>
  <si>
    <t>258.4</t>
  </si>
  <si>
    <t>257.6</t>
  </si>
  <si>
    <t>256.8</t>
  </si>
  <si>
    <t>256.1</t>
  </si>
  <si>
    <t>255.3</t>
  </si>
  <si>
    <t>254.5</t>
  </si>
  <si>
    <t>253.8</t>
  </si>
  <si>
    <t>253.0</t>
  </si>
  <si>
    <t>252.2</t>
  </si>
  <si>
    <t>251.5</t>
  </si>
  <si>
    <t>250.7</t>
  </si>
  <si>
    <t>249.9</t>
  </si>
  <si>
    <t>249.2</t>
  </si>
  <si>
    <t>248.4</t>
  </si>
  <si>
    <t>247.6</t>
  </si>
  <si>
    <t>246.9</t>
  </si>
  <si>
    <t>246.1</t>
  </si>
  <si>
    <t>245.3</t>
  </si>
  <si>
    <t>244.6</t>
  </si>
  <si>
    <t>243.8</t>
  </si>
  <si>
    <t>243.0</t>
  </si>
  <si>
    <t>242.3</t>
  </si>
  <si>
    <t>241.5</t>
  </si>
  <si>
    <t>240.7</t>
  </si>
  <si>
    <t>240.0</t>
  </si>
  <si>
    <t>239.2</t>
  </si>
  <si>
    <t>238.4</t>
  </si>
  <si>
    <t>237.7</t>
  </si>
  <si>
    <t>236.9</t>
  </si>
  <si>
    <t>236.1</t>
  </si>
  <si>
    <t>235.4</t>
  </si>
  <si>
    <t>234.6</t>
  </si>
  <si>
    <t>233.8</t>
  </si>
  <si>
    <t>233.1</t>
  </si>
  <si>
    <t>232.3</t>
  </si>
  <si>
    <t>231.5</t>
  </si>
  <si>
    <t>230.8</t>
  </si>
  <si>
    <t>230.0</t>
  </si>
  <si>
    <t>229.2</t>
  </si>
  <si>
    <t>228.5</t>
  </si>
  <si>
    <t>227.7</t>
  </si>
  <si>
    <t>226.9</t>
  </si>
  <si>
    <t>226.2</t>
  </si>
  <si>
    <t>225.4</t>
  </si>
  <si>
    <t>224.6</t>
  </si>
  <si>
    <t>223.9</t>
  </si>
  <si>
    <t>223.1</t>
  </si>
  <si>
    <t>222.3</t>
  </si>
  <si>
    <t>221.6</t>
  </si>
  <si>
    <t>220.8</t>
  </si>
  <si>
    <t>1w</t>
  </si>
  <si>
    <t>PS 1w</t>
  </si>
  <si>
    <t>PPS 1w</t>
  </si>
  <si>
    <t>2w</t>
  </si>
  <si>
    <t>PS 2w</t>
  </si>
  <si>
    <t>3w</t>
  </si>
  <si>
    <t>PS 3w</t>
  </si>
  <si>
    <t>286.0</t>
  </si>
  <si>
    <t>246.0</t>
  </si>
  <si>
    <t>256.0</t>
  </si>
  <si>
    <t>226.0</t>
  </si>
  <si>
    <t>236.0</t>
  </si>
  <si>
    <t>254.6</t>
  </si>
  <si>
    <t>253.9</t>
  </si>
  <si>
    <t>253.2</t>
  </si>
  <si>
    <t>252.4</t>
  </si>
  <si>
    <t>251.7</t>
  </si>
  <si>
    <t>251.0</t>
  </si>
  <si>
    <t>250.3</t>
  </si>
  <si>
    <t>249.6</t>
  </si>
  <si>
    <t>248.9</t>
  </si>
  <si>
    <t>248.2</t>
  </si>
  <si>
    <t>247.5</t>
  </si>
  <si>
    <t>246.8</t>
  </si>
  <si>
    <t>243.9</t>
  </si>
  <si>
    <t>243.2</t>
  </si>
  <si>
    <t>242.5</t>
  </si>
  <si>
    <t>241.8</t>
  </si>
  <si>
    <t>241.1</t>
  </si>
  <si>
    <t>240.4</t>
  </si>
  <si>
    <t>239.6</t>
  </si>
  <si>
    <t>238.9</t>
  </si>
  <si>
    <t>238.2</t>
  </si>
  <si>
    <t>237.5</t>
  </si>
  <si>
    <t>236.8</t>
  </si>
  <si>
    <t>234.7</t>
  </si>
  <si>
    <t>234.0</t>
  </si>
  <si>
    <t>233.2</t>
  </si>
  <si>
    <t>232.5</t>
  </si>
  <si>
    <t>231.8</t>
  </si>
  <si>
    <t>231.1</t>
  </si>
  <si>
    <t>230.4</t>
  </si>
  <si>
    <t>229.7</t>
  </si>
  <si>
    <t>229.0</t>
  </si>
  <si>
    <t>228.3</t>
  </si>
  <si>
    <t>227.6</t>
  </si>
  <si>
    <t>226.8</t>
  </si>
  <si>
    <t>226.1</t>
  </si>
  <si>
    <t>224.7</t>
  </si>
  <si>
    <t>224.0</t>
  </si>
  <si>
    <t>223.3</t>
  </si>
  <si>
    <t>222.6</t>
  </si>
  <si>
    <t>221.9</t>
  </si>
  <si>
    <t>221.2</t>
  </si>
  <si>
    <t>220.4</t>
  </si>
  <si>
    <t>219.7</t>
  </si>
  <si>
    <t>219.0</t>
  </si>
  <si>
    <t>218.3</t>
  </si>
  <si>
    <t>217.6</t>
  </si>
  <si>
    <t>216.9</t>
  </si>
  <si>
    <t>216.2</t>
  </si>
  <si>
    <t>215.5</t>
  </si>
  <si>
    <t>214.8</t>
  </si>
  <si>
    <t>214.0</t>
  </si>
  <si>
    <t>213.3</t>
  </si>
  <si>
    <t>212.6</t>
  </si>
  <si>
    <t>211.9</t>
  </si>
  <si>
    <t>211.2</t>
  </si>
  <si>
    <t>210.5</t>
  </si>
  <si>
    <t>209.8</t>
  </si>
  <si>
    <t>209.1</t>
  </si>
  <si>
    <t>208.4</t>
  </si>
  <si>
    <t>207.6</t>
  </si>
  <si>
    <t>206.9</t>
  </si>
  <si>
    <t>206.2</t>
  </si>
  <si>
    <t>205.5</t>
  </si>
  <si>
    <t>204.8</t>
  </si>
  <si>
    <t>235.3</t>
  </si>
  <si>
    <t>233.4</t>
  </si>
  <si>
    <t>232.7</t>
  </si>
  <si>
    <t>232.1</t>
  </si>
  <si>
    <t>231.4</t>
  </si>
  <si>
    <t>230.1</t>
  </si>
  <si>
    <t>229.4</t>
  </si>
  <si>
    <t>228.8</t>
  </si>
  <si>
    <t>228.1</t>
  </si>
  <si>
    <t>227.5</t>
  </si>
  <si>
    <t>225.5</t>
  </si>
  <si>
    <t>224.9</t>
  </si>
  <si>
    <t>224.2</t>
  </si>
  <si>
    <t>223.5</t>
  </si>
  <si>
    <t>222.9</t>
  </si>
  <si>
    <t>222.2</t>
  </si>
  <si>
    <t>220.9</t>
  </si>
  <si>
    <t>220.3</t>
  </si>
  <si>
    <t>219.6</t>
  </si>
  <si>
    <t>217.0</t>
  </si>
  <si>
    <t>216.3</t>
  </si>
  <si>
    <t>215.7</t>
  </si>
  <si>
    <t>215.0</t>
  </si>
  <si>
    <t>214.4</t>
  </si>
  <si>
    <t>213.7</t>
  </si>
  <si>
    <t>213.1</t>
  </si>
  <si>
    <t>212.4</t>
  </si>
  <si>
    <t>211.7</t>
  </si>
  <si>
    <t>211.1</t>
  </si>
  <si>
    <t>210.4</t>
  </si>
  <si>
    <t>208.5</t>
  </si>
  <si>
    <t>207.8</t>
  </si>
  <si>
    <t>207.2</t>
  </si>
  <si>
    <t>206.5</t>
  </si>
  <si>
    <t>205.8</t>
  </si>
  <si>
    <t>205.2</t>
  </si>
  <si>
    <t>204.5</t>
  </si>
  <si>
    <t>203.9</t>
  </si>
  <si>
    <t>203.2</t>
  </si>
  <si>
    <t>202.6</t>
  </si>
  <si>
    <t>201.9</t>
  </si>
  <si>
    <t>201.3</t>
  </si>
  <si>
    <t>200.6</t>
  </si>
  <si>
    <t>199.9</t>
  </si>
  <si>
    <t>199.3</t>
  </si>
  <si>
    <t>198.6</t>
  </si>
  <si>
    <t>198.0</t>
  </si>
  <si>
    <t>197.3</t>
  </si>
  <si>
    <t>196.7</t>
  </si>
  <si>
    <t>196.0</t>
  </si>
  <si>
    <t>195.4</t>
  </si>
  <si>
    <t>194.7</t>
  </si>
  <si>
    <t>194.0</t>
  </si>
  <si>
    <t>193.4</t>
  </si>
  <si>
    <t>192.7</t>
  </si>
  <si>
    <t>192.1</t>
  </si>
  <si>
    <t>191.4</t>
  </si>
  <si>
    <t>190.8</t>
  </si>
  <si>
    <t>190.1</t>
  </si>
  <si>
    <t>189.5</t>
  </si>
  <si>
    <t>188.8</t>
  </si>
  <si>
    <t>263.8</t>
  </si>
  <si>
    <t>262.3</t>
  </si>
  <si>
    <t>261.6</t>
  </si>
  <si>
    <t>260.8</t>
  </si>
  <si>
    <t>260.1</t>
  </si>
  <si>
    <t>259.4</t>
  </si>
  <si>
    <t>258.6</t>
  </si>
  <si>
    <t>257.9</t>
  </si>
  <si>
    <t>257.1</t>
  </si>
  <si>
    <t>256.4</t>
  </si>
  <si>
    <t>255.7</t>
  </si>
  <si>
    <t>254.9</t>
  </si>
  <si>
    <t>254.2</t>
  </si>
  <si>
    <t>253.4</t>
  </si>
  <si>
    <t>252.7</t>
  </si>
  <si>
    <t>252.0</t>
  </si>
  <si>
    <t>251.2</t>
  </si>
  <si>
    <t>250.5</t>
  </si>
  <si>
    <t>249.7</t>
  </si>
  <si>
    <t>249.0</t>
  </si>
  <si>
    <t>248.3</t>
  </si>
  <si>
    <t>243.1</t>
  </si>
  <si>
    <t>242.4</t>
  </si>
  <si>
    <t>241.6</t>
  </si>
  <si>
    <t>240.9</t>
  </si>
  <si>
    <t>240.1</t>
  </si>
  <si>
    <t>239.4</t>
  </si>
  <si>
    <t>238.7</t>
  </si>
  <si>
    <t>237.9</t>
  </si>
  <si>
    <t>237.2</t>
  </si>
  <si>
    <t>236.4</t>
  </si>
  <si>
    <t>235.7</t>
  </si>
  <si>
    <t>235.0</t>
  </si>
  <si>
    <t>234.2</t>
  </si>
  <si>
    <t>233.5</t>
  </si>
  <si>
    <t>232.8</t>
  </si>
  <si>
    <t>232.0</t>
  </si>
  <si>
    <t>231.3</t>
  </si>
  <si>
    <t>230.5</t>
  </si>
  <si>
    <t>229.8</t>
  </si>
  <si>
    <t>229.1</t>
  </si>
  <si>
    <t>222.4</t>
  </si>
  <si>
    <t>221.7</t>
  </si>
  <si>
    <t>220.2</t>
  </si>
  <si>
    <t>219.4</t>
  </si>
  <si>
    <t>218.7</t>
  </si>
  <si>
    <t>218.0</t>
  </si>
  <si>
    <t>217.2</t>
  </si>
  <si>
    <t>216.5</t>
  </si>
  <si>
    <t>215.8</t>
  </si>
  <si>
    <t>214.3</t>
  </si>
  <si>
    <t>213.5</t>
  </si>
  <si>
    <t>212.8</t>
  </si>
  <si>
    <t>212.1</t>
  </si>
  <si>
    <t>211.3</t>
  </si>
  <si>
    <t>210.6</t>
  </si>
  <si>
    <t>206.1</t>
  </si>
  <si>
    <t>205.4</t>
  </si>
  <si>
    <t>204.7</t>
  </si>
  <si>
    <t>202.5</t>
  </si>
  <si>
    <t>201.7</t>
  </si>
  <si>
    <t>201.0</t>
  </si>
  <si>
    <t>200.2</t>
  </si>
  <si>
    <t>199.5</t>
  </si>
  <si>
    <t>198.8</t>
  </si>
  <si>
    <t>196.5</t>
  </si>
  <si>
    <t>195.8</t>
  </si>
  <si>
    <t>195.1</t>
  </si>
  <si>
    <t>194.3</t>
  </si>
  <si>
    <t>193.6</t>
  </si>
  <si>
    <t>192.9</t>
  </si>
  <si>
    <t>190.6</t>
  </si>
  <si>
    <t>189.9</t>
  </si>
  <si>
    <t>189.2</t>
  </si>
  <si>
    <t>188.4</t>
  </si>
  <si>
    <t>187.7</t>
  </si>
  <si>
    <t>186.9</t>
  </si>
  <si>
    <t>186.2</t>
  </si>
  <si>
    <t>285.2</t>
  </si>
  <si>
    <t>284.4</t>
  </si>
  <si>
    <t>283.6</t>
  </si>
  <si>
    <t>282.8</t>
  </si>
  <si>
    <t>282.0</t>
  </si>
  <si>
    <t>281.2</t>
  </si>
  <si>
    <t>280.4</t>
  </si>
  <si>
    <t>279.6</t>
  </si>
  <si>
    <t>278.9</t>
  </si>
  <si>
    <t>278.1</t>
  </si>
  <si>
    <t>277.3</t>
  </si>
  <si>
    <t>276.5</t>
  </si>
  <si>
    <t>275.7</t>
  </si>
  <si>
    <t>274.9</t>
  </si>
  <si>
    <t>274.1</t>
  </si>
  <si>
    <t>273.3</t>
  </si>
  <si>
    <t>272.5</t>
  </si>
  <si>
    <t>271.7</t>
  </si>
  <si>
    <t>270.9</t>
  </si>
  <si>
    <t>270.1</t>
  </si>
  <si>
    <t>269.3</t>
  </si>
  <si>
    <t>268.5</t>
  </si>
  <si>
    <t>267.7</t>
  </si>
  <si>
    <t>266.9</t>
  </si>
  <si>
    <t>266.1</t>
  </si>
  <si>
    <t>264.6</t>
  </si>
  <si>
    <t>260.6</t>
  </si>
  <si>
    <t>259.8</t>
  </si>
  <si>
    <t>259.0</t>
  </si>
  <si>
    <t>258.2</t>
  </si>
  <si>
    <t>257.4</t>
  </si>
  <si>
    <t>256.6</t>
  </si>
  <si>
    <t>255.8</t>
  </si>
  <si>
    <t>255.0</t>
  </si>
  <si>
    <t>252.6</t>
  </si>
  <si>
    <t>251.8</t>
  </si>
  <si>
    <t>249.5</t>
  </si>
  <si>
    <t>248.7</t>
  </si>
  <si>
    <t>247.9</t>
  </si>
  <si>
    <t>247.1</t>
  </si>
  <si>
    <t>246.3</t>
  </si>
  <si>
    <t>245.5</t>
  </si>
  <si>
    <t>244.7</t>
  </si>
  <si>
    <t>239.9</t>
  </si>
  <si>
    <t>239.1</t>
  </si>
  <si>
    <t>238.3</t>
  </si>
  <si>
    <t>236.7</t>
  </si>
  <si>
    <t>235.9</t>
  </si>
  <si>
    <t>235.2</t>
  </si>
  <si>
    <t>234.4</t>
  </si>
  <si>
    <t>233.6</t>
  </si>
  <si>
    <t>231.2</t>
  </si>
  <si>
    <t>229.6</t>
  </si>
  <si>
    <t>243.3</t>
  </si>
  <si>
    <t>242.6</t>
  </si>
  <si>
    <t>241.9</t>
  </si>
  <si>
    <t>241.2</t>
  </si>
  <si>
    <t>240.5</t>
  </si>
  <si>
    <t>238.5</t>
  </si>
  <si>
    <t>237.8</t>
  </si>
  <si>
    <t>237.1</t>
  </si>
  <si>
    <t>235.8</t>
  </si>
  <si>
    <t>235.1</t>
  </si>
  <si>
    <t>233.7</t>
  </si>
  <si>
    <t>233.0</t>
  </si>
  <si>
    <t>231.6</t>
  </si>
  <si>
    <t>231.0</t>
  </si>
  <si>
    <t>230.3</t>
  </si>
  <si>
    <t>228.9</t>
  </si>
  <si>
    <t>228.2</t>
  </si>
  <si>
    <t>224.8</t>
  </si>
  <si>
    <t>224.1</t>
  </si>
  <si>
    <t>222.8</t>
  </si>
  <si>
    <t>222.1</t>
  </si>
  <si>
    <t>221.4</t>
  </si>
  <si>
    <t>220.7</t>
  </si>
  <si>
    <t>220.0</t>
  </si>
  <si>
    <t>219.3</t>
  </si>
  <si>
    <t>217.3</t>
  </si>
  <si>
    <t>216.6</t>
  </si>
  <si>
    <t>215.9</t>
  </si>
  <si>
    <t>215.3</t>
  </si>
  <si>
    <t>214.6</t>
  </si>
  <si>
    <t>213.9</t>
  </si>
  <si>
    <t>213.2</t>
  </si>
  <si>
    <t>212.5</t>
  </si>
  <si>
    <t>211.8</t>
  </si>
  <si>
    <t>207.7</t>
  </si>
  <si>
    <t>207.0</t>
  </si>
  <si>
    <t>206.4</t>
  </si>
  <si>
    <t>205.7</t>
  </si>
  <si>
    <t>205.0</t>
  </si>
  <si>
    <t>204.3</t>
  </si>
  <si>
    <t>203.6</t>
  </si>
  <si>
    <t>202.9</t>
  </si>
  <si>
    <t>202.3</t>
  </si>
  <si>
    <t>201.6</t>
  </si>
  <si>
    <t>200.9</t>
  </si>
  <si>
    <t>198.9</t>
  </si>
  <si>
    <t>198.2</t>
  </si>
  <si>
    <t>197.5</t>
  </si>
  <si>
    <t>196.8</t>
  </si>
  <si>
    <t>221.0</t>
  </si>
  <si>
    <t>219.1</t>
  </si>
  <si>
    <t>218.5</t>
  </si>
  <si>
    <t>217.8</t>
  </si>
  <si>
    <t>216.0</t>
  </si>
  <si>
    <t>214.7</t>
  </si>
  <si>
    <t>214.1</t>
  </si>
  <si>
    <t>213.4</t>
  </si>
  <si>
    <t>212.2</t>
  </si>
  <si>
    <t>211.6</t>
  </si>
  <si>
    <t>210.9</t>
  </si>
  <si>
    <t>210.3</t>
  </si>
  <si>
    <t>209.7</t>
  </si>
  <si>
    <t>205.9</t>
  </si>
  <si>
    <t>205.3</t>
  </si>
  <si>
    <t>204.0</t>
  </si>
  <si>
    <t>203.4</t>
  </si>
  <si>
    <t>202.8</t>
  </si>
  <si>
    <t>202.1</t>
  </si>
  <si>
    <t>201.5</t>
  </si>
  <si>
    <t>200.3</t>
  </si>
  <si>
    <t>199.6</t>
  </si>
  <si>
    <t>199.0</t>
  </si>
  <si>
    <t>198.4</t>
  </si>
  <si>
    <t>197.8</t>
  </si>
  <si>
    <t>197.1</t>
  </si>
  <si>
    <t>195.9</t>
  </si>
  <si>
    <t>195.2</t>
  </si>
  <si>
    <t>194.6</t>
  </si>
  <si>
    <t>191.5</t>
  </si>
  <si>
    <t>190.2</t>
  </si>
  <si>
    <t>189.6</t>
  </si>
  <si>
    <t>189.0</t>
  </si>
  <si>
    <t>188.3</t>
  </si>
  <si>
    <t>187.1</t>
  </si>
  <si>
    <t>186.4</t>
  </si>
  <si>
    <t>185.8</t>
  </si>
  <si>
    <t>185.2</t>
  </si>
  <si>
    <t>184.6</t>
  </si>
  <si>
    <t>183.9</t>
  </si>
  <si>
    <t>183.3</t>
  </si>
  <si>
    <t>182.7</t>
  </si>
  <si>
    <t>182.1</t>
  </si>
  <si>
    <t>181.4</t>
  </si>
  <si>
    <t>180.8</t>
  </si>
  <si>
    <t>PS:</t>
  </si>
  <si>
    <t>N1W</t>
  </si>
  <si>
    <t>BS 1w</t>
  </si>
  <si>
    <t>Toma 1w</t>
  </si>
  <si>
    <t>Toma 2w</t>
  </si>
  <si>
    <t>S.Spike 1w</t>
  </si>
  <si>
    <t>Yards</t>
  </si>
  <si>
    <t>PowerBar</t>
  </si>
  <si>
    <t>Toma 3w</t>
  </si>
  <si>
    <t>S.Toma 1w</t>
  </si>
  <si>
    <t>1PS</t>
  </si>
  <si>
    <t xml:space="preserve">PGM </t>
  </si>
  <si>
    <t>Ele</t>
  </si>
  <si>
    <t>Wind</t>
  </si>
  <si>
    <t>Angle</t>
  </si>
  <si>
    <t>Break Ball</t>
  </si>
  <si>
    <t>Green Slope</t>
  </si>
  <si>
    <t>Terrain</t>
  </si>
  <si>
    <t>Tile</t>
  </si>
  <si>
    <t>Result Angle</t>
  </si>
  <si>
    <t>PB Total</t>
  </si>
  <si>
    <t>Power %</t>
  </si>
  <si>
    <t>Caliper</t>
  </si>
  <si>
    <t>Spin</t>
  </si>
  <si>
    <t>Face</t>
  </si>
  <si>
    <t>Tail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</si>
</sst>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"/>
    <numFmt numFmtId="165" formatCode="0.000"/>
  </numFmts>
  <fonts count="38">
    <font>
      <sz val="10"/>
      <name val="Arial"/>
    </font>
    <font>
      <sz val="10"/>
      <color indexed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name val="돋움"/>
      <charset val="129"/>
    </font>
    <font>
      <sz val="11"/>
      <color indexed="8"/>
      <name val="맑은 고딕"/>
      <family val="3"/>
      <charset val="129"/>
    </font>
    <font>
      <sz val="10"/>
      <name val="Arial"/>
      <family val="2"/>
    </font>
    <font>
      <sz val="10"/>
      <name val="ＭＳ Ｐゴシック"/>
      <family val="3"/>
    </font>
    <font>
      <b/>
      <sz val="11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0" tint="-0.34998626667073579"/>
      <name val="Arial"/>
      <family val="2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2"/>
      <name val="Maiandra GD"/>
      <family val="2"/>
    </font>
    <font>
      <b/>
      <sz val="12"/>
      <name val="Maiandra GD"/>
      <family val="2"/>
    </font>
    <font>
      <sz val="11"/>
      <name val="Maiandra GD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0"/>
      <color rgb="FF00FF00"/>
      <name val="Arial"/>
      <family val="2"/>
    </font>
    <font>
      <u/>
      <sz val="9"/>
      <color theme="10"/>
      <name val="Arial"/>
      <family val="2"/>
    </font>
    <font>
      <sz val="11"/>
      <color theme="0"/>
      <name val="Maiandra GD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sz val="10"/>
      <color rgb="FFFF0000"/>
      <name val="Arial"/>
      <family val="2"/>
    </font>
    <font>
      <sz val="11"/>
      <color theme="1"/>
      <name val="Comic Sans MS"/>
      <family val="4"/>
    </font>
    <font>
      <sz val="10"/>
      <color theme="1"/>
      <name val="Comic Sans MS"/>
      <family val="4"/>
    </font>
    <font>
      <sz val="14"/>
      <color theme="1"/>
      <name val="Comic Sans MS"/>
      <family val="4"/>
    </font>
    <font>
      <sz val="10"/>
      <name val="Comic Sans MS"/>
      <family val="4"/>
    </font>
    <font>
      <sz val="9"/>
      <color theme="1"/>
      <name val="Comic Sans MS"/>
      <family val="4"/>
    </font>
  </fonts>
  <fills count="10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4">
    <xf numFmtId="0" fontId="0" fillId="0" borderId="0"/>
    <xf numFmtId="0" fontId="2" fillId="0" borderId="0"/>
    <xf numFmtId="0" fontId="10" fillId="0" borderId="0"/>
    <xf numFmtId="0" fontId="4" fillId="0" borderId="0">
      <alignment vertical="center"/>
    </xf>
    <xf numFmtId="0" fontId="7" fillId="0" borderId="0"/>
    <xf numFmtId="0" fontId="2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43" fontId="6" fillId="0" borderId="0" applyFont="0" applyFill="0" applyBorder="0" applyAlignment="0" applyProtection="0"/>
    <xf numFmtId="0" fontId="5" fillId="0" borderId="0">
      <alignment vertical="center"/>
    </xf>
    <xf numFmtId="9" fontId="1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</cellStyleXfs>
  <cellXfs count="215">
    <xf numFmtId="0" fontId="0" fillId="0" borderId="0" xfId="0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0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3" fillId="0" borderId="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/>
    <xf numFmtId="0" fontId="9" fillId="0" borderId="0" xfId="0" applyFont="1" applyFill="1" applyBorder="1" applyAlignment="1" applyProtection="1">
      <alignment horizont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0" fillId="6" borderId="0" xfId="0" applyFill="1"/>
    <xf numFmtId="0" fontId="0" fillId="0" borderId="8" xfId="0" applyBorder="1" applyAlignment="1">
      <alignment horizontal="center"/>
    </xf>
    <xf numFmtId="0" fontId="16" fillId="0" borderId="0" xfId="0" applyFont="1" applyFill="1" applyBorder="1" applyAlignment="1" applyProtection="1">
      <alignment vertical="center" textRotation="255"/>
    </xf>
    <xf numFmtId="0" fontId="17" fillId="0" borderId="7" xfId="0" applyFont="1" applyBorder="1" applyAlignment="1">
      <alignment horizontal="center"/>
    </xf>
    <xf numFmtId="0" fontId="0" fillId="0" borderId="0" xfId="0" applyAlignment="1">
      <alignment vertical="center"/>
    </xf>
    <xf numFmtId="0" fontId="19" fillId="0" borderId="0" xfId="0" applyFont="1"/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17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  <protection hidden="1"/>
    </xf>
    <xf numFmtId="0" fontId="0" fillId="0" borderId="7" xfId="0" applyFill="1" applyBorder="1" applyAlignment="1" applyProtection="1">
      <alignment horizontal="center" vertical="center"/>
      <protection hidden="1"/>
    </xf>
    <xf numFmtId="2" fontId="0" fillId="0" borderId="3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9" fontId="26" fillId="0" borderId="7" xfId="0" applyNumberFormat="1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6" borderId="0" xfId="0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2" fontId="0" fillId="4" borderId="4" xfId="0" applyNumberForma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2" fontId="0" fillId="2" borderId="4" xfId="0" applyNumberFormat="1" applyFill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2" fontId="0" fillId="2" borderId="6" xfId="0" applyNumberForma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0" fillId="4" borderId="7" xfId="12" applyFont="1" applyFill="1" applyBorder="1" applyAlignment="1">
      <alignment horizontal="center" vertical="center"/>
    </xf>
    <xf numFmtId="9" fontId="0" fillId="3" borderId="7" xfId="12" applyFont="1" applyFill="1" applyBorder="1" applyAlignment="1">
      <alignment horizontal="center" vertical="center"/>
    </xf>
    <xf numFmtId="9" fontId="0" fillId="5" borderId="7" xfId="12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164" fontId="17" fillId="3" borderId="7" xfId="0" applyNumberFormat="1" applyFont="1" applyFill="1" applyBorder="1" applyAlignment="1">
      <alignment horizontal="center" vertical="center"/>
    </xf>
    <xf numFmtId="164" fontId="17" fillId="4" borderId="7" xfId="0" applyNumberFormat="1" applyFont="1" applyFill="1" applyBorder="1" applyAlignment="1">
      <alignment horizontal="center" vertical="center"/>
    </xf>
    <xf numFmtId="164" fontId="17" fillId="3" borderId="7" xfId="0" applyNumberFormat="1" applyFont="1" applyFill="1" applyBorder="1" applyAlignment="1">
      <alignment horizontal="center"/>
    </xf>
    <xf numFmtId="164" fontId="17" fillId="4" borderId="7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4" borderId="11" xfId="0" applyNumberForma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3" borderId="11" xfId="0" applyNumberForma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5" borderId="11" xfId="0" applyNumberFormat="1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165" fontId="0" fillId="4" borderId="11" xfId="0" applyNumberFormat="1" applyFill="1" applyBorder="1" applyAlignment="1">
      <alignment horizontal="center" vertical="center"/>
    </xf>
    <xf numFmtId="2" fontId="17" fillId="3" borderId="7" xfId="0" applyNumberFormat="1" applyFont="1" applyFill="1" applyBorder="1" applyAlignment="1">
      <alignment horizontal="center" vertical="center"/>
    </xf>
    <xf numFmtId="2" fontId="17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0" fillId="3" borderId="4" xfId="0" applyNumberFormat="1" applyFill="1" applyBorder="1" applyAlignment="1">
      <alignment horizontal="center" vertical="center"/>
    </xf>
    <xf numFmtId="0" fontId="2" fillId="6" borderId="0" xfId="0" applyFont="1" applyFill="1"/>
    <xf numFmtId="0" fontId="2" fillId="6" borderId="0" xfId="0" applyFont="1" applyFill="1" applyAlignment="1">
      <alignment vertical="center"/>
    </xf>
    <xf numFmtId="0" fontId="0" fillId="0" borderId="16" xfId="0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65" fontId="0" fillId="4" borderId="4" xfId="0" applyNumberForma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1" fillId="6" borderId="17" xfId="0" applyFont="1" applyFill="1" applyBorder="1" applyAlignment="1" applyProtection="1">
      <alignment horizontal="center" vertical="center" wrapText="1"/>
      <protection hidden="1"/>
    </xf>
    <xf numFmtId="0" fontId="31" fillId="6" borderId="17" xfId="0" applyFont="1" applyFill="1" applyBorder="1" applyAlignment="1" applyProtection="1">
      <alignment horizontal="center" vertical="center"/>
      <protection locked="0" hidden="1"/>
    </xf>
    <xf numFmtId="0" fontId="31" fillId="6" borderId="17" xfId="0" applyFont="1" applyFill="1" applyBorder="1" applyAlignment="1" applyProtection="1">
      <alignment horizontal="center" vertical="center"/>
      <protection hidden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4" fontId="31" fillId="6" borderId="17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center" vertical="center"/>
    </xf>
    <xf numFmtId="9" fontId="0" fillId="7" borderId="11" xfId="0" applyNumberFormat="1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164" fontId="17" fillId="4" borderId="11" xfId="0" applyNumberFormat="1" applyFont="1" applyFill="1" applyBorder="1" applyAlignment="1">
      <alignment horizontal="center" vertical="center"/>
    </xf>
    <xf numFmtId="2" fontId="17" fillId="4" borderId="7" xfId="0" applyNumberFormat="1" applyFont="1" applyFill="1" applyBorder="1" applyAlignment="1">
      <alignment horizontal="center"/>
    </xf>
    <xf numFmtId="0" fontId="2" fillId="0" borderId="0" xfId="0" applyFont="1"/>
    <xf numFmtId="2" fontId="17" fillId="3" borderId="7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8" borderId="8" xfId="0" applyFill="1" applyBorder="1" applyAlignment="1">
      <alignment horizontal="center"/>
    </xf>
    <xf numFmtId="0" fontId="32" fillId="0" borderId="8" xfId="0" applyFont="1" applyBorder="1" applyAlignment="1">
      <alignment horizontal="center"/>
    </xf>
    <xf numFmtId="10" fontId="0" fillId="5" borderId="8" xfId="0" applyNumberFormat="1" applyFill="1" applyBorder="1" applyAlignment="1">
      <alignment horizontal="center"/>
    </xf>
    <xf numFmtId="10" fontId="32" fillId="5" borderId="8" xfId="0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0" fillId="0" borderId="0" xfId="0" applyNumberFormat="1"/>
    <xf numFmtId="0" fontId="24" fillId="0" borderId="0" xfId="0" applyFont="1" applyAlignment="1">
      <alignment horizontal="center"/>
    </xf>
    <xf numFmtId="0" fontId="28" fillId="0" borderId="0" xfId="0" applyFont="1" applyAlignment="1">
      <alignment horizontal="center" vertical="center"/>
    </xf>
    <xf numFmtId="0" fontId="13" fillId="9" borderId="8" xfId="0" applyFont="1" applyFill="1" applyBorder="1" applyAlignment="1">
      <alignment horizontal="center"/>
    </xf>
    <xf numFmtId="0" fontId="2" fillId="0" borderId="0" xfId="0" applyFont="1" applyAlignment="1"/>
    <xf numFmtId="10" fontId="0" fillId="5" borderId="8" xfId="0" applyNumberFormat="1" applyFill="1" applyBorder="1" applyAlignment="1"/>
    <xf numFmtId="164" fontId="0" fillId="0" borderId="8" xfId="0" applyNumberFormat="1" applyBorder="1" applyAlignment="1">
      <alignment horizontal="center"/>
    </xf>
    <xf numFmtId="165" fontId="0" fillId="0" borderId="0" xfId="0" applyNumberFormat="1"/>
    <xf numFmtId="0" fontId="30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30" fillId="0" borderId="0" xfId="0" applyFont="1"/>
    <xf numFmtId="2" fontId="30" fillId="0" borderId="0" xfId="0" applyNumberFormat="1" applyFont="1"/>
    <xf numFmtId="0" fontId="30" fillId="0" borderId="0" xfId="0" applyFont="1" applyAlignment="1">
      <alignment horizontal="center"/>
    </xf>
    <xf numFmtId="2" fontId="30" fillId="0" borderId="0" xfId="0" applyNumberFormat="1" applyFont="1" applyAlignment="1">
      <alignment horizontal="center"/>
    </xf>
    <xf numFmtId="0" fontId="22" fillId="2" borderId="15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23" fillId="5" borderId="12" xfId="0" applyFont="1" applyFill="1" applyBorder="1" applyAlignment="1" applyProtection="1">
      <alignment horizontal="center" vertical="center"/>
      <protection hidden="1"/>
    </xf>
    <xf numFmtId="0" fontId="23" fillId="5" borderId="13" xfId="0" applyFont="1" applyFill="1" applyBorder="1" applyAlignment="1" applyProtection="1">
      <alignment horizontal="center" vertical="center"/>
      <protection hidden="1"/>
    </xf>
    <xf numFmtId="0" fontId="23" fillId="5" borderId="14" xfId="0" applyFont="1" applyFill="1" applyBorder="1" applyAlignment="1" applyProtection="1">
      <alignment horizontal="center" vertical="center"/>
      <protection hidden="1"/>
    </xf>
    <xf numFmtId="0" fontId="0" fillId="0" borderId="18" xfId="0" applyBorder="1" applyAlignment="1">
      <alignment horizontal="center" vertical="center"/>
    </xf>
    <xf numFmtId="0" fontId="2" fillId="5" borderId="12" xfId="0" applyFont="1" applyFill="1" applyBorder="1" applyAlignment="1" applyProtection="1">
      <alignment horizontal="center" vertical="center"/>
      <protection hidden="1"/>
    </xf>
    <xf numFmtId="0" fontId="2" fillId="5" borderId="14" xfId="0" applyFont="1" applyFill="1" applyBorder="1" applyAlignment="1" applyProtection="1">
      <alignment horizontal="center" vertical="center"/>
      <protection hidden="1"/>
    </xf>
    <xf numFmtId="0" fontId="33" fillId="8" borderId="19" xfId="0" applyFont="1" applyFill="1" applyBorder="1" applyAlignment="1" applyProtection="1">
      <alignment horizontal="center" vertical="center"/>
      <protection locked="0"/>
    </xf>
    <xf numFmtId="2" fontId="33" fillId="0" borderId="0" xfId="0" applyNumberFormat="1" applyFont="1" applyFill="1" applyAlignment="1" applyProtection="1">
      <alignment horizontal="center" vertical="center"/>
      <protection locked="0"/>
    </xf>
    <xf numFmtId="0" fontId="33" fillId="8" borderId="19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Alignment="1" applyProtection="1">
      <alignment horizontal="center" vertical="center"/>
      <protection locked="0"/>
    </xf>
    <xf numFmtId="0" fontId="33" fillId="0" borderId="0" xfId="0" applyFont="1" applyAlignment="1">
      <alignment horizontal="center" vertical="center"/>
    </xf>
    <xf numFmtId="2" fontId="33" fillId="8" borderId="19" xfId="0" applyNumberFormat="1" applyFont="1" applyFill="1" applyBorder="1" applyAlignment="1" applyProtection="1">
      <alignment horizontal="center" vertical="center"/>
      <protection locked="0"/>
    </xf>
    <xf numFmtId="164" fontId="33" fillId="8" borderId="19" xfId="0" applyNumberFormat="1" applyFont="1" applyFill="1" applyBorder="1" applyAlignment="1" applyProtection="1">
      <alignment horizontal="center" vertical="center"/>
    </xf>
    <xf numFmtId="0" fontId="33" fillId="0" borderId="0" xfId="0" applyFont="1" applyAlignment="1">
      <alignment vertical="center"/>
    </xf>
    <xf numFmtId="0" fontId="33" fillId="0" borderId="0" xfId="0" applyFont="1" applyFill="1" applyAlignment="1" applyProtection="1">
      <alignment vertical="center"/>
      <protection locked="0"/>
    </xf>
    <xf numFmtId="0" fontId="34" fillId="0" borderId="0" xfId="0" applyFont="1" applyFill="1" applyProtection="1">
      <protection locked="0"/>
    </xf>
    <xf numFmtId="0" fontId="34" fillId="0" borderId="0" xfId="0" applyFont="1" applyProtection="1">
      <protection locked="0"/>
    </xf>
    <xf numFmtId="0" fontId="34" fillId="0" borderId="0" xfId="0" applyFont="1"/>
    <xf numFmtId="9" fontId="33" fillId="8" borderId="19" xfId="10" applyNumberFormat="1" applyFont="1" applyFill="1" applyBorder="1" applyAlignment="1" applyProtection="1">
      <alignment horizontal="center" vertical="center"/>
      <protection locked="0"/>
    </xf>
    <xf numFmtId="0" fontId="35" fillId="0" borderId="0" xfId="0" applyFont="1" applyProtection="1">
      <protection locked="0"/>
    </xf>
    <xf numFmtId="0" fontId="35" fillId="0" borderId="0" xfId="0" applyFont="1" applyFill="1" applyProtection="1">
      <protection locked="0"/>
    </xf>
    <xf numFmtId="0" fontId="36" fillId="0" borderId="0" xfId="0" applyFont="1" applyAlignment="1">
      <alignment horizontal="center" vertical="center"/>
    </xf>
    <xf numFmtId="165" fontId="33" fillId="8" borderId="19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Alignment="1" applyProtection="1">
      <alignment horizontal="center"/>
      <protection locked="0"/>
    </xf>
    <xf numFmtId="0" fontId="34" fillId="0" borderId="0" xfId="0" applyFont="1" applyFill="1" applyAlignment="1" applyProtection="1">
      <alignment horizontal="center"/>
      <protection locked="0"/>
    </xf>
    <xf numFmtId="2" fontId="34" fillId="0" borderId="0" xfId="0" applyNumberFormat="1" applyFont="1" applyAlignment="1" applyProtection="1">
      <alignment horizontal="center"/>
      <protection locked="0"/>
    </xf>
    <xf numFmtId="0" fontId="37" fillId="0" borderId="0" xfId="13" applyFont="1" applyFill="1" applyAlignment="1" applyProtection="1">
      <alignment horizontal="center"/>
      <protection locked="0"/>
    </xf>
    <xf numFmtId="0" fontId="34" fillId="8" borderId="19" xfId="0" applyFont="1" applyFill="1" applyBorder="1" applyAlignment="1" applyProtection="1">
      <alignment horizontal="center"/>
      <protection locked="0"/>
    </xf>
    <xf numFmtId="164" fontId="34" fillId="8" borderId="19" xfId="0" applyNumberFormat="1" applyFont="1" applyFill="1" applyBorder="1" applyAlignment="1" applyProtection="1">
      <alignment horizontal="center"/>
    </xf>
    <xf numFmtId="0" fontId="34" fillId="8" borderId="19" xfId="0" applyFont="1" applyFill="1" applyBorder="1" applyAlignment="1" applyProtection="1">
      <alignment horizontal="center" vertical="center"/>
      <protection locked="0"/>
    </xf>
    <xf numFmtId="2" fontId="37" fillId="0" borderId="0" xfId="13" applyNumberFormat="1" applyFont="1" applyFill="1" applyAlignment="1" applyProtection="1">
      <alignment horizontal="center"/>
      <protection locked="0"/>
    </xf>
    <xf numFmtId="0" fontId="37" fillId="0" borderId="0" xfId="13" applyFont="1" applyFill="1" applyAlignment="1" applyProtection="1">
      <protection locked="0"/>
    </xf>
    <xf numFmtId="0" fontId="34" fillId="0" borderId="0" xfId="0" applyFont="1" applyFill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vertical="center"/>
      <protection locked="0"/>
    </xf>
    <xf numFmtId="0" fontId="34" fillId="0" borderId="0" xfId="0" applyFont="1" applyAlignment="1" applyProtection="1">
      <alignment horizontal="center" vertical="center"/>
      <protection locked="0"/>
    </xf>
    <xf numFmtId="0" fontId="37" fillId="0" borderId="0" xfId="13" applyFont="1" applyAlignment="1" applyProtection="1">
      <protection locked="0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center" vertical="center"/>
    </xf>
    <xf numFmtId="2" fontId="34" fillId="0" borderId="0" xfId="0" applyNumberFormat="1" applyFont="1" applyAlignment="1">
      <alignment horizontal="center"/>
    </xf>
    <xf numFmtId="2" fontId="33" fillId="8" borderId="19" xfId="0" applyNumberFormat="1" applyFont="1" applyFill="1" applyBorder="1" applyAlignment="1" applyProtection="1">
      <alignment horizontal="center" vertical="center"/>
    </xf>
    <xf numFmtId="164" fontId="33" fillId="8" borderId="19" xfId="0" applyNumberFormat="1" applyFont="1" applyFill="1" applyBorder="1" applyAlignment="1" applyProtection="1">
      <alignment horizontal="center" vertical="center"/>
      <protection locked="0"/>
    </xf>
    <xf numFmtId="1" fontId="33" fillId="8" borderId="19" xfId="0" applyNumberFormat="1" applyFont="1" applyFill="1" applyBorder="1" applyAlignment="1" applyProtection="1">
      <alignment horizontal="center" vertical="center"/>
    </xf>
    <xf numFmtId="1" fontId="33" fillId="8" borderId="19" xfId="0" applyNumberFormat="1" applyFont="1" applyFill="1" applyBorder="1" applyAlignment="1" applyProtection="1">
      <alignment horizontal="center" vertical="center"/>
      <protection locked="0"/>
    </xf>
  </cellXfs>
  <cellStyles count="14">
    <cellStyle name="Comma" xfId="10" builtinId="3"/>
    <cellStyle name="Excel Built-in Normal" xfId="1"/>
    <cellStyle name="Excel Built-in Normal 1" xfId="2"/>
    <cellStyle name="Hyperlink" xfId="13" builtinId="8"/>
    <cellStyle name="Normal" xfId="0" builtinId="0"/>
    <cellStyle name="Normal 2" xfId="3"/>
    <cellStyle name="Normal 2 2" xfId="4"/>
    <cellStyle name="Normal 3" xfId="5"/>
    <cellStyle name="Normal 4" xfId="6"/>
    <cellStyle name="Normal 4 2" xfId="7"/>
    <cellStyle name="Normal 5" xfId="8"/>
    <cellStyle name="Normal 6" xfId="9"/>
    <cellStyle name="Percent" xfId="12" builtinId="5"/>
    <cellStyle name="표준_아이스스파" xfId="11"/>
  </cellStyles>
  <dxfs count="0"/>
  <tableStyles count="0" defaultTableStyle="TableStyleMedium9" defaultPivotStyle="PivotStyleLight16"/>
  <colors>
    <mruColors>
      <color rgb="FF00FF00"/>
      <color rgb="FFFF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radores/Jogos/PangYa/274+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adora"/>
      <sheetName val="Calliper"/>
      <sheetName val="Calculos"/>
      <sheetName val="Pink Wind"/>
      <sheetName val="Terreno"/>
      <sheetName val="6i"/>
      <sheetName val="Blue Lagoon By Misa"/>
      <sheetName val="INCLINAÇÃO DETALHADA - BL"/>
      <sheetName val="Plan4"/>
      <sheetName val="6igontijo"/>
      <sheetName val="Calculos Enfadonhos Ice Spa"/>
      <sheetName val="ANG"/>
      <sheetName val="Ice Sp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4">
          <cell r="O4">
            <v>70</v>
          </cell>
          <cell r="P4">
            <v>1.99</v>
          </cell>
        </row>
        <row r="5">
          <cell r="O5">
            <v>69</v>
          </cell>
          <cell r="P5">
            <v>1.96</v>
          </cell>
        </row>
        <row r="6">
          <cell r="O6">
            <v>68</v>
          </cell>
          <cell r="P6">
            <v>1.93</v>
          </cell>
        </row>
        <row r="7">
          <cell r="O7">
            <v>67</v>
          </cell>
          <cell r="P7">
            <v>1.9</v>
          </cell>
        </row>
        <row r="8">
          <cell r="O8">
            <v>66</v>
          </cell>
          <cell r="P8">
            <v>1.87</v>
          </cell>
        </row>
        <row r="9">
          <cell r="O9">
            <v>65</v>
          </cell>
          <cell r="P9">
            <v>1.84</v>
          </cell>
        </row>
        <row r="10">
          <cell r="O10">
            <v>64</v>
          </cell>
          <cell r="P10">
            <v>1.81</v>
          </cell>
        </row>
        <row r="11">
          <cell r="O11">
            <v>63</v>
          </cell>
          <cell r="P11">
            <v>1.78</v>
          </cell>
        </row>
        <row r="12">
          <cell r="O12">
            <v>62</v>
          </cell>
          <cell r="P12">
            <v>1.75</v>
          </cell>
        </row>
        <row r="13">
          <cell r="O13">
            <v>61</v>
          </cell>
          <cell r="P13">
            <v>1.72</v>
          </cell>
        </row>
        <row r="14">
          <cell r="O14">
            <v>60</v>
          </cell>
          <cell r="P14">
            <v>1.69</v>
          </cell>
        </row>
        <row r="15">
          <cell r="O15">
            <v>59</v>
          </cell>
          <cell r="P15">
            <v>1.66</v>
          </cell>
        </row>
        <row r="16">
          <cell r="O16">
            <v>58</v>
          </cell>
          <cell r="P16">
            <v>1.63</v>
          </cell>
        </row>
        <row r="17">
          <cell r="O17">
            <v>57</v>
          </cell>
          <cell r="P17">
            <v>1.6</v>
          </cell>
        </row>
        <row r="18">
          <cell r="O18">
            <v>56</v>
          </cell>
          <cell r="P18">
            <v>1.57</v>
          </cell>
        </row>
        <row r="19">
          <cell r="O19">
            <v>55</v>
          </cell>
          <cell r="P19">
            <v>1.55</v>
          </cell>
        </row>
        <row r="20">
          <cell r="O20">
            <v>54</v>
          </cell>
          <cell r="P20">
            <v>1.52</v>
          </cell>
        </row>
        <row r="21">
          <cell r="O21">
            <v>53</v>
          </cell>
          <cell r="P21">
            <v>1.49</v>
          </cell>
        </row>
        <row r="22">
          <cell r="O22">
            <v>52</v>
          </cell>
          <cell r="P22">
            <v>1.46</v>
          </cell>
        </row>
        <row r="23">
          <cell r="O23">
            <v>51</v>
          </cell>
          <cell r="P23">
            <v>1.43</v>
          </cell>
        </row>
        <row r="24">
          <cell r="O24">
            <v>50</v>
          </cell>
          <cell r="P24">
            <v>1.41</v>
          </cell>
        </row>
        <row r="25">
          <cell r="O25">
            <v>49</v>
          </cell>
          <cell r="P25">
            <v>1.38</v>
          </cell>
        </row>
        <row r="26">
          <cell r="O26">
            <v>48</v>
          </cell>
          <cell r="P26">
            <v>1.35</v>
          </cell>
        </row>
        <row r="27">
          <cell r="O27">
            <v>47</v>
          </cell>
          <cell r="P27">
            <v>1.32</v>
          </cell>
        </row>
        <row r="28">
          <cell r="O28">
            <v>46</v>
          </cell>
          <cell r="P28">
            <v>1.29</v>
          </cell>
        </row>
        <row r="29">
          <cell r="O29">
            <v>45</v>
          </cell>
          <cell r="P29">
            <v>1.26</v>
          </cell>
        </row>
        <row r="30">
          <cell r="O30">
            <v>44</v>
          </cell>
          <cell r="P30">
            <v>1.24</v>
          </cell>
        </row>
        <row r="31">
          <cell r="O31">
            <v>43</v>
          </cell>
          <cell r="P31">
            <v>1.21</v>
          </cell>
        </row>
        <row r="32">
          <cell r="O32">
            <v>42</v>
          </cell>
          <cell r="P32">
            <v>1.18</v>
          </cell>
        </row>
        <row r="33">
          <cell r="O33">
            <v>41</v>
          </cell>
          <cell r="P33">
            <v>1.1499999999999999</v>
          </cell>
        </row>
        <row r="34">
          <cell r="O34">
            <v>40</v>
          </cell>
          <cell r="P34">
            <v>1.1200000000000001</v>
          </cell>
        </row>
        <row r="35">
          <cell r="O35">
            <v>39</v>
          </cell>
          <cell r="P35">
            <v>1.1000000000000001</v>
          </cell>
        </row>
        <row r="36">
          <cell r="O36">
            <v>38</v>
          </cell>
          <cell r="P36">
            <v>1.07</v>
          </cell>
        </row>
        <row r="37">
          <cell r="O37">
            <v>37</v>
          </cell>
          <cell r="P37">
            <v>1.04</v>
          </cell>
        </row>
        <row r="38">
          <cell r="O38">
            <v>36</v>
          </cell>
          <cell r="P38">
            <v>1.01</v>
          </cell>
        </row>
        <row r="39">
          <cell r="O39">
            <v>35</v>
          </cell>
          <cell r="P39">
            <v>0.98</v>
          </cell>
        </row>
        <row r="40">
          <cell r="O40">
            <v>34</v>
          </cell>
          <cell r="P40">
            <v>0.96</v>
          </cell>
        </row>
        <row r="41">
          <cell r="O41">
            <v>33</v>
          </cell>
          <cell r="P41">
            <v>0.93</v>
          </cell>
        </row>
        <row r="42">
          <cell r="O42">
            <v>32</v>
          </cell>
          <cell r="P42">
            <v>0.9</v>
          </cell>
        </row>
        <row r="43">
          <cell r="O43">
            <v>31</v>
          </cell>
          <cell r="P43">
            <v>0.87</v>
          </cell>
        </row>
        <row r="44">
          <cell r="O44">
            <v>30</v>
          </cell>
          <cell r="P44">
            <v>0.84</v>
          </cell>
        </row>
        <row r="45">
          <cell r="O45">
            <v>29</v>
          </cell>
          <cell r="P45">
            <v>0.82</v>
          </cell>
        </row>
        <row r="46">
          <cell r="O46">
            <v>28</v>
          </cell>
          <cell r="P46">
            <v>0.79</v>
          </cell>
        </row>
        <row r="47">
          <cell r="O47">
            <v>27</v>
          </cell>
          <cell r="P47">
            <v>0.76</v>
          </cell>
        </row>
        <row r="48">
          <cell r="O48">
            <v>26</v>
          </cell>
          <cell r="P48">
            <v>0.73</v>
          </cell>
        </row>
        <row r="49">
          <cell r="O49">
            <v>25</v>
          </cell>
          <cell r="P49">
            <v>0.7</v>
          </cell>
        </row>
        <row r="50">
          <cell r="O50">
            <v>24</v>
          </cell>
          <cell r="P50">
            <v>0.67</v>
          </cell>
        </row>
        <row r="51">
          <cell r="O51">
            <v>23</v>
          </cell>
          <cell r="P51">
            <v>0.65</v>
          </cell>
        </row>
        <row r="52">
          <cell r="O52">
            <v>22</v>
          </cell>
          <cell r="P52">
            <v>0.62</v>
          </cell>
        </row>
        <row r="53">
          <cell r="O53">
            <v>21</v>
          </cell>
          <cell r="P53">
            <v>0.59</v>
          </cell>
        </row>
        <row r="54">
          <cell r="O54">
            <v>20</v>
          </cell>
          <cell r="P54">
            <v>0.56000000000000005</v>
          </cell>
        </row>
        <row r="55">
          <cell r="O55">
            <v>19</v>
          </cell>
          <cell r="P55">
            <v>0.53</v>
          </cell>
        </row>
        <row r="56">
          <cell r="O56">
            <v>18</v>
          </cell>
          <cell r="P56">
            <v>0.51</v>
          </cell>
        </row>
        <row r="57">
          <cell r="O57">
            <v>17</v>
          </cell>
          <cell r="P57">
            <v>0.48</v>
          </cell>
        </row>
        <row r="58">
          <cell r="O58">
            <v>16</v>
          </cell>
          <cell r="P58">
            <v>0.45</v>
          </cell>
        </row>
        <row r="59">
          <cell r="O59">
            <v>15</v>
          </cell>
          <cell r="P59">
            <v>0.42</v>
          </cell>
        </row>
        <row r="60">
          <cell r="O60">
            <v>14</v>
          </cell>
          <cell r="P60">
            <v>0.39</v>
          </cell>
        </row>
        <row r="61">
          <cell r="O61">
            <v>13</v>
          </cell>
          <cell r="P61">
            <v>0.37</v>
          </cell>
        </row>
        <row r="62">
          <cell r="O62">
            <v>12</v>
          </cell>
          <cell r="P62">
            <v>0.34</v>
          </cell>
        </row>
        <row r="63">
          <cell r="O63">
            <v>11</v>
          </cell>
          <cell r="P63">
            <v>0.31</v>
          </cell>
        </row>
        <row r="64">
          <cell r="O64">
            <v>10</v>
          </cell>
          <cell r="P64">
            <v>0.28000000000000003</v>
          </cell>
        </row>
      </sheetData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Mediano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>
    <tabColor theme="3"/>
  </sheetPr>
  <dimension ref="A1:AX1000"/>
  <sheetViews>
    <sheetView showGridLines="0" tabSelected="1" zoomScale="90" zoomScaleNormal="90" workbookViewId="0">
      <selection activeCell="A18" sqref="A18"/>
    </sheetView>
  </sheetViews>
  <sheetFormatPr defaultRowHeight="12.75"/>
  <cols>
    <col min="1" max="1" width="13.7109375" style="6" customWidth="1"/>
    <col min="2" max="2" width="10" style="6" customWidth="1"/>
    <col min="3" max="3" width="2" style="6" customWidth="1"/>
    <col min="4" max="4" width="11.7109375" style="6" customWidth="1"/>
    <col min="5" max="5" width="8.42578125" style="6" customWidth="1"/>
    <col min="6" max="6" width="9" style="6" customWidth="1"/>
    <col min="7" max="7" width="1.5703125" style="6" customWidth="1"/>
    <col min="8" max="8" width="11.85546875" style="6" customWidth="1"/>
    <col min="9" max="9" width="9" style="6" customWidth="1"/>
    <col min="10" max="10" width="9.28515625" style="6" customWidth="1"/>
    <col min="11" max="11" width="1.42578125" style="6" customWidth="1"/>
    <col min="12" max="12" width="11" style="6" customWidth="1"/>
    <col min="13" max="13" width="8.85546875" style="6" customWidth="1"/>
    <col min="14" max="14" width="9.42578125" style="6" customWidth="1"/>
    <col min="15" max="15" width="1.140625" style="6" customWidth="1"/>
    <col min="16" max="16" width="11.7109375" style="6" customWidth="1"/>
    <col min="17" max="18" width="10.7109375" style="6" customWidth="1"/>
    <col min="19" max="24" width="9.140625" style="6" customWidth="1"/>
    <col min="25" max="16384" width="9.140625" style="6"/>
  </cols>
  <sheetData>
    <row r="1" spans="1:50" ht="15" customHeight="1" thickBot="1">
      <c r="A1" s="178" t="s">
        <v>505</v>
      </c>
      <c r="B1" s="178">
        <v>241</v>
      </c>
      <c r="C1" s="179"/>
      <c r="D1" s="178" t="s">
        <v>497</v>
      </c>
      <c r="E1" s="180" t="s">
        <v>519</v>
      </c>
      <c r="F1" s="180" t="s">
        <v>518</v>
      </c>
      <c r="G1" s="181"/>
      <c r="H1" s="178" t="s">
        <v>7</v>
      </c>
      <c r="I1" s="180" t="s">
        <v>519</v>
      </c>
      <c r="J1" s="180" t="s">
        <v>518</v>
      </c>
      <c r="K1" s="181"/>
      <c r="L1" s="178" t="s">
        <v>496</v>
      </c>
      <c r="M1" s="180" t="s">
        <v>519</v>
      </c>
      <c r="N1" s="180" t="s">
        <v>518</v>
      </c>
      <c r="O1" s="179"/>
      <c r="P1" s="178" t="s">
        <v>25</v>
      </c>
      <c r="Q1" s="180" t="s">
        <v>519</v>
      </c>
      <c r="R1" s="180" t="s">
        <v>518</v>
      </c>
      <c r="S1" s="182"/>
      <c r="T1" s="157"/>
      <c r="W1" s="29"/>
      <c r="X1" s="23"/>
      <c r="Y1" s="23"/>
      <c r="Z1" s="23"/>
      <c r="AA1" s="23"/>
      <c r="AB1" s="2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8"/>
      <c r="AP1" s="8"/>
      <c r="AQ1" s="9"/>
      <c r="AR1" s="9"/>
      <c r="AS1" s="9"/>
      <c r="AT1" s="9"/>
      <c r="AU1" s="9"/>
      <c r="AV1" s="9"/>
      <c r="AW1" s="9"/>
      <c r="AX1" s="9"/>
    </row>
    <row r="2" spans="1:50" ht="15" customHeight="1" thickBot="1">
      <c r="A2" s="178" t="s">
        <v>506</v>
      </c>
      <c r="B2" s="178">
        <v>-14.5</v>
      </c>
      <c r="C2" s="181"/>
      <c r="D2" s="180" t="s">
        <v>514</v>
      </c>
      <c r="E2" s="211">
        <f>((Cálculos!B7)/B12)/0.217</f>
        <v>31.502188583617162</v>
      </c>
      <c r="F2" s="211">
        <f>(Cálculos!B8)/B12/0.217</f>
        <v>31.70796732091727</v>
      </c>
      <c r="G2" s="179"/>
      <c r="H2" s="180" t="s">
        <v>514</v>
      </c>
      <c r="I2" s="211">
        <f>(Cálculos!B21)/B12/0.217</f>
        <v>49.553441734843702</v>
      </c>
      <c r="J2" s="211">
        <f>(Cálculos!B22)/B12/0.217</f>
        <v>50.043261422633179</v>
      </c>
      <c r="K2" s="179"/>
      <c r="L2" s="180" t="s">
        <v>514</v>
      </c>
      <c r="M2" s="211">
        <f>(Cálculos!B35)/B12/0.217</f>
        <v>53.357093660880345</v>
      </c>
      <c r="N2" s="211">
        <f>(Cálculos!B36)/B12/0.217</f>
        <v>53.937460038239038</v>
      </c>
      <c r="O2" s="179"/>
      <c r="P2" s="180" t="s">
        <v>514</v>
      </c>
      <c r="Q2" s="183">
        <f>(Cálculos!B49)/B12/0.217</f>
        <v>56.735556413491089</v>
      </c>
      <c r="R2" s="211">
        <f>(Cálculos!B50)/B12/0.217</f>
        <v>56.735556413491089</v>
      </c>
      <c r="S2" s="182"/>
      <c r="T2" s="157"/>
      <c r="W2" s="29"/>
      <c r="X2" s="13"/>
      <c r="Y2"/>
      <c r="Z2"/>
      <c r="AA2"/>
      <c r="AB2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8"/>
      <c r="AP2" s="8"/>
      <c r="AQ2" s="9"/>
      <c r="AR2" s="9"/>
      <c r="AS2" s="9"/>
      <c r="AT2" s="9"/>
      <c r="AU2" s="9"/>
      <c r="AV2" s="9"/>
      <c r="AW2" s="9"/>
      <c r="AX2" s="9"/>
    </row>
    <row r="3" spans="1:50" ht="15" customHeight="1" thickBot="1">
      <c r="A3" s="178" t="s">
        <v>507</v>
      </c>
      <c r="B3" s="178">
        <v>10</v>
      </c>
      <c r="C3" s="181"/>
      <c r="D3" s="180" t="s">
        <v>515</v>
      </c>
      <c r="E3" s="211">
        <f>Cálculos!I11</f>
        <v>82.95621470089246</v>
      </c>
      <c r="F3" s="211">
        <f>Cálculos!J11</f>
        <v>83.352859252786729</v>
      </c>
      <c r="G3" s="181"/>
      <c r="H3" s="180" t="s">
        <v>515</v>
      </c>
      <c r="I3" s="184">
        <f>Cálculos!I26</f>
        <v>98.358539165557588</v>
      </c>
      <c r="J3" s="184">
        <f>Cálculos!J26</f>
        <v>98.929033836085665</v>
      </c>
      <c r="K3" s="181"/>
      <c r="L3" s="180" t="s">
        <v>515</v>
      </c>
      <c r="M3" s="184">
        <f>Cálculos!I40</f>
        <v>93.037517336701725</v>
      </c>
      <c r="N3" s="184">
        <f>Cálculos!J40</f>
        <v>93.670675734835484</v>
      </c>
      <c r="O3" s="181"/>
      <c r="P3" s="180" t="s">
        <v>515</v>
      </c>
      <c r="Q3" s="212">
        <f>Cálculos!I55</f>
        <v>73.712826753448013</v>
      </c>
      <c r="R3" s="184">
        <f>Cálculos!J55</f>
        <v>74.508126558244797</v>
      </c>
      <c r="S3" s="182"/>
      <c r="T3" s="157"/>
      <c r="W3" s="29"/>
      <c r="X3" s="13"/>
      <c r="Y3" s="15"/>
      <c r="Z3" s="15"/>
      <c r="AA3" s="15"/>
      <c r="AB3" s="15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8"/>
      <c r="AP3" s="8"/>
      <c r="AQ3" s="9"/>
      <c r="AR3" s="9"/>
      <c r="AS3" s="9"/>
      <c r="AT3" s="9"/>
      <c r="AU3" s="9"/>
      <c r="AV3" s="9"/>
      <c r="AW3" s="9"/>
      <c r="AX3" s="9"/>
    </row>
    <row r="4" spans="1:50" ht="15" customHeight="1" thickBot="1">
      <c r="A4" s="178" t="s">
        <v>508</v>
      </c>
      <c r="B4" s="184">
        <v>86</v>
      </c>
      <c r="C4" s="181"/>
      <c r="D4" s="178" t="s">
        <v>516</v>
      </c>
      <c r="E4" s="184" t="str">
        <f>Cálculos!I10</f>
        <v>229.2</v>
      </c>
      <c r="F4" s="184" t="str">
        <f>Cálculos!J10</f>
        <v>230.8</v>
      </c>
      <c r="G4" s="181"/>
      <c r="H4" s="178" t="s">
        <v>516</v>
      </c>
      <c r="I4" s="184" t="str">
        <f>Cálculos!I25</f>
        <v>261.6</v>
      </c>
      <c r="J4" s="184" t="str">
        <f>Cálculos!J25</f>
        <v>263.0</v>
      </c>
      <c r="K4" s="181"/>
      <c r="L4" s="178" t="s">
        <v>516</v>
      </c>
      <c r="M4" s="184" t="str">
        <f>Cálculos!I39</f>
        <v>247.5</v>
      </c>
      <c r="N4" s="184" t="str">
        <f>Cálculos!J39</f>
        <v>249.7</v>
      </c>
      <c r="O4" s="181"/>
      <c r="P4" s="178" t="s">
        <v>516</v>
      </c>
      <c r="Q4" s="212" t="e">
        <f>Cálculos!I54</f>
        <v>#VALUE!</v>
      </c>
      <c r="R4" s="184" t="e">
        <f>Cálculos!J54</f>
        <v>#VALUE!</v>
      </c>
      <c r="S4" s="185"/>
      <c r="T4" s="157"/>
      <c r="W4" s="29"/>
      <c r="X4" s="13"/>
      <c r="Y4" s="16"/>
      <c r="Z4" s="16"/>
      <c r="AA4" s="16"/>
      <c r="AB4" s="16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8"/>
      <c r="AP4" s="8"/>
      <c r="AQ4" s="9"/>
      <c r="AR4" s="9"/>
      <c r="AS4" s="9"/>
      <c r="AT4" s="9"/>
      <c r="AU4" s="9"/>
      <c r="AV4" s="9"/>
      <c r="AW4" s="9"/>
      <c r="AX4" s="9"/>
    </row>
    <row r="5" spans="1:50" ht="15" customHeight="1" thickBot="1">
      <c r="A5" s="178" t="s">
        <v>509</v>
      </c>
      <c r="B5" s="178">
        <v>0</v>
      </c>
      <c r="C5" s="181"/>
      <c r="D5" s="181"/>
      <c r="E5" s="186"/>
      <c r="F5" s="186"/>
      <c r="G5" s="186"/>
      <c r="H5" s="178" t="s">
        <v>517</v>
      </c>
      <c r="I5" s="213">
        <f>Cálculos!I24</f>
        <v>9</v>
      </c>
      <c r="J5" s="213">
        <f>Cálculos!J24</f>
        <v>9</v>
      </c>
      <c r="K5" s="181"/>
      <c r="L5" s="187"/>
      <c r="M5" s="187"/>
      <c r="N5" s="187"/>
      <c r="O5" s="181"/>
      <c r="P5" s="186"/>
      <c r="Q5" s="186"/>
      <c r="R5" s="186"/>
      <c r="S5" s="185"/>
      <c r="T5" s="157"/>
      <c r="W5" s="29"/>
      <c r="X5" s="13"/>
      <c r="Y5" s="16"/>
      <c r="Z5" s="16"/>
      <c r="AA5" s="16"/>
      <c r="AB5" s="16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8"/>
      <c r="AP5" s="8"/>
      <c r="AQ5" s="9"/>
      <c r="AR5" s="9"/>
      <c r="AS5" s="9"/>
      <c r="AT5" s="9"/>
      <c r="AU5" s="9"/>
      <c r="AV5" s="9"/>
      <c r="AW5" s="9"/>
      <c r="AX5" s="9"/>
    </row>
    <row r="6" spans="1:50" ht="15" customHeight="1" thickBot="1">
      <c r="A6" s="178" t="s">
        <v>510</v>
      </c>
      <c r="B6" s="178">
        <v>0</v>
      </c>
      <c r="C6" s="181"/>
      <c r="D6" s="178" t="s">
        <v>498</v>
      </c>
      <c r="E6" s="180" t="s">
        <v>519</v>
      </c>
      <c r="F6" s="180" t="s">
        <v>518</v>
      </c>
      <c r="G6" s="186"/>
      <c r="H6" s="186"/>
      <c r="I6" s="186"/>
      <c r="J6" s="186"/>
      <c r="K6" s="186"/>
      <c r="L6" s="188"/>
      <c r="M6" s="188"/>
      <c r="N6" s="188"/>
      <c r="O6" s="186"/>
      <c r="P6" s="178" t="s">
        <v>499</v>
      </c>
      <c r="Q6" s="180" t="s">
        <v>519</v>
      </c>
      <c r="R6" s="180" t="s">
        <v>518</v>
      </c>
      <c r="S6" s="189"/>
      <c r="T6" s="159"/>
      <c r="U6" s="10"/>
      <c r="V6" s="11"/>
      <c r="W6" s="29"/>
      <c r="X6" s="13"/>
      <c r="Y6" s="16"/>
      <c r="Z6" s="16"/>
      <c r="AA6" s="16"/>
      <c r="AB6" s="16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8"/>
      <c r="AP6" s="8"/>
      <c r="AQ6" s="9"/>
      <c r="AR6" s="9"/>
      <c r="AS6" s="9"/>
      <c r="AT6" s="9"/>
      <c r="AU6" s="9"/>
      <c r="AV6" s="9"/>
      <c r="AW6" s="9"/>
      <c r="AX6" s="9"/>
    </row>
    <row r="7" spans="1:50" ht="15" customHeight="1" thickBot="1">
      <c r="A7" s="178" t="s">
        <v>511</v>
      </c>
      <c r="B7" s="190">
        <v>1</v>
      </c>
      <c r="C7" s="181"/>
      <c r="D7" s="180" t="s">
        <v>514</v>
      </c>
      <c r="E7" s="183">
        <f>((Cálculos!P7)/B12)/0.217</f>
        <v>38.547496351820662</v>
      </c>
      <c r="F7" s="183">
        <f>((Cálculos!P8)/B12)/0.217</f>
        <v>38.847212874207223</v>
      </c>
      <c r="G7" s="179"/>
      <c r="H7" s="178" t="s">
        <v>21</v>
      </c>
      <c r="I7" s="180" t="s">
        <v>519</v>
      </c>
      <c r="J7" s="180" t="s">
        <v>518</v>
      </c>
      <c r="K7" s="186"/>
      <c r="L7" s="191"/>
      <c r="M7" s="191"/>
      <c r="N7" s="192"/>
      <c r="O7" s="193"/>
      <c r="P7" s="180" t="s">
        <v>514</v>
      </c>
      <c r="Q7" s="183">
        <f>((Cálculos!P49)/B12)/0.217</f>
        <v>58.251205621152415</v>
      </c>
      <c r="R7" s="211">
        <f>((Cálculos!P50)/B12)/0.217</f>
        <v>58.251205621152415</v>
      </c>
      <c r="S7" s="189"/>
      <c r="T7" s="159"/>
      <c r="U7" s="10"/>
      <c r="V7" s="24"/>
      <c r="W7" s="29"/>
      <c r="X7" s="13"/>
      <c r="Y7"/>
      <c r="Z7"/>
      <c r="AA7"/>
      <c r="AB7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8"/>
      <c r="AP7" s="8"/>
      <c r="AQ7" s="9"/>
      <c r="AR7" s="9"/>
      <c r="AS7" s="9"/>
      <c r="AT7" s="9"/>
      <c r="AU7" s="9"/>
      <c r="AV7" s="9"/>
      <c r="AW7" s="9"/>
      <c r="AX7" s="9"/>
    </row>
    <row r="8" spans="1:50" ht="15" customHeight="1" thickBot="1">
      <c r="A8" s="186"/>
      <c r="B8" s="186"/>
      <c r="C8" s="181"/>
      <c r="D8" s="180" t="s">
        <v>515</v>
      </c>
      <c r="E8" s="212">
        <f>Cálculos!W11</f>
        <v>87.879619236328011</v>
      </c>
      <c r="F8" s="212">
        <f>Cálculos!X11</f>
        <v>88.391391554418178</v>
      </c>
      <c r="G8" s="181"/>
      <c r="H8" s="180" t="s">
        <v>514</v>
      </c>
      <c r="I8" s="183">
        <f>Cálculos!P21/0.217</f>
        <v>63.486277999845505</v>
      </c>
      <c r="J8" s="183">
        <f>Cálculos!P22/0.217</f>
        <v>64.276319666843563</v>
      </c>
      <c r="K8" s="186"/>
      <c r="L8" s="191"/>
      <c r="M8" s="191"/>
      <c r="N8" s="192"/>
      <c r="O8" s="193"/>
      <c r="P8" s="180" t="s">
        <v>515</v>
      </c>
      <c r="Q8" s="212">
        <f>Cálculos!W55</f>
        <v>70.30020294795257</v>
      </c>
      <c r="R8" s="184">
        <f>Cálculos!X55</f>
        <v>71.064831562923871</v>
      </c>
      <c r="S8" s="189"/>
      <c r="T8" s="159"/>
      <c r="U8" s="10"/>
      <c r="V8" s="25"/>
      <c r="W8" s="29"/>
      <c r="X8" s="13"/>
      <c r="Y8" s="15"/>
      <c r="Z8" s="15"/>
      <c r="AA8" s="15"/>
      <c r="AB8" s="15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8"/>
      <c r="AP8" s="8"/>
      <c r="AQ8" s="9"/>
      <c r="AR8" s="9"/>
      <c r="AS8" s="9"/>
      <c r="AT8" s="9"/>
      <c r="AU8" s="9"/>
      <c r="AV8" s="9"/>
      <c r="AW8" s="9"/>
      <c r="AX8" s="9"/>
    </row>
    <row r="9" spans="1:50" ht="15" customHeight="1" thickBot="1">
      <c r="A9" s="178" t="s">
        <v>500</v>
      </c>
      <c r="B9" s="194">
        <f>3.08/4</f>
        <v>0.77</v>
      </c>
      <c r="C9" s="181"/>
      <c r="D9" s="178" t="s">
        <v>516</v>
      </c>
      <c r="E9" s="212" t="str">
        <f>Cálculos!W10</f>
        <v>225.4</v>
      </c>
      <c r="F9" s="212" t="str">
        <f>Cálculos!X10</f>
        <v>226.8</v>
      </c>
      <c r="G9" s="181"/>
      <c r="H9" s="180" t="s">
        <v>515</v>
      </c>
      <c r="I9" s="212">
        <f>Cálculos!W26</f>
        <v>104.23692687934305</v>
      </c>
      <c r="J9" s="212">
        <f>Cálculos!X26</f>
        <v>104.96720734715112</v>
      </c>
      <c r="K9" s="186"/>
      <c r="L9" s="188"/>
      <c r="M9" s="188"/>
      <c r="N9" s="195"/>
      <c r="O9" s="187"/>
      <c r="P9" s="178" t="s">
        <v>516</v>
      </c>
      <c r="Q9" s="184" t="e">
        <f>Cálculos!W54</f>
        <v>#VALUE!</v>
      </c>
      <c r="R9" s="184" t="e">
        <f>Cálculos!X54</f>
        <v>#VALUE!</v>
      </c>
      <c r="S9" s="189"/>
      <c r="T9" s="159"/>
      <c r="U9" s="11"/>
      <c r="V9" s="11"/>
      <c r="W9" s="29"/>
      <c r="X9" s="13"/>
      <c r="Y9" s="14"/>
      <c r="Z9" s="14"/>
      <c r="AA9" s="14"/>
      <c r="AB9" s="14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8"/>
      <c r="AP9" s="8"/>
      <c r="AQ9" s="9"/>
      <c r="AR9" s="9"/>
      <c r="AS9" s="9"/>
      <c r="AT9" s="9"/>
      <c r="AU9" s="9"/>
      <c r="AV9" s="9"/>
      <c r="AW9" s="9"/>
      <c r="AX9" s="9"/>
    </row>
    <row r="10" spans="1:50" ht="15" customHeight="1" thickBot="1">
      <c r="A10" s="178" t="s">
        <v>501</v>
      </c>
      <c r="B10" s="183">
        <f>(B9)/(0.216)</f>
        <v>3.5648148148148149</v>
      </c>
      <c r="C10" s="186"/>
      <c r="D10" s="186"/>
      <c r="E10" s="186"/>
      <c r="F10" s="181"/>
      <c r="G10" s="181"/>
      <c r="H10" s="178" t="s">
        <v>516</v>
      </c>
      <c r="I10" s="212" t="e">
        <f>Cálculos!W25</f>
        <v>#REF!</v>
      </c>
      <c r="J10" s="212" t="e">
        <f>Cálculos!X25</f>
        <v>#REF!</v>
      </c>
      <c r="K10" s="186"/>
      <c r="L10" s="188"/>
      <c r="M10" s="188"/>
      <c r="N10" s="188"/>
      <c r="O10" s="187"/>
      <c r="P10" s="187"/>
      <c r="Q10" s="187"/>
      <c r="R10" s="187"/>
      <c r="S10" s="189"/>
      <c r="T10" s="159"/>
      <c r="U10" s="11"/>
      <c r="V10" s="11"/>
      <c r="W10" s="29"/>
      <c r="X10" s="13"/>
      <c r="Y10" s="14"/>
      <c r="Z10" s="14"/>
      <c r="AA10" s="14"/>
      <c r="AB10" s="14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8"/>
      <c r="AP10" s="8"/>
      <c r="AQ10" s="9"/>
      <c r="AR10" s="9"/>
      <c r="AS10" s="9"/>
      <c r="AT10" s="9"/>
      <c r="AU10" s="9"/>
      <c r="AV10" s="9"/>
      <c r="AW10" s="9"/>
      <c r="AX10" s="9"/>
    </row>
    <row r="11" spans="1:50" ht="15" customHeight="1" thickBot="1">
      <c r="A11" s="186"/>
      <c r="B11" s="186"/>
      <c r="C11" s="186"/>
      <c r="D11" s="178" t="s">
        <v>502</v>
      </c>
      <c r="E11" s="180" t="s">
        <v>519</v>
      </c>
      <c r="F11" s="180" t="s">
        <v>518</v>
      </c>
      <c r="G11" s="186"/>
      <c r="H11" s="178" t="s">
        <v>517</v>
      </c>
      <c r="I11" s="214">
        <f>Cálculos!W24</f>
        <v>9</v>
      </c>
      <c r="J11" s="214">
        <f>Cálculos!X24</f>
        <v>9</v>
      </c>
      <c r="K11" s="186"/>
      <c r="L11" s="196"/>
      <c r="M11" s="187"/>
      <c r="N11" s="187"/>
      <c r="O11" s="187"/>
      <c r="P11" s="187"/>
      <c r="Q11" s="187"/>
      <c r="R11" s="187"/>
      <c r="S11" s="189"/>
      <c r="T11" s="159"/>
      <c r="V11" s="11"/>
      <c r="W11" s="29"/>
      <c r="X11" s="13"/>
      <c r="Y11" s="14"/>
      <c r="Z11" s="14"/>
      <c r="AA11" s="14"/>
      <c r="AB11" s="14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8"/>
      <c r="AP11" s="8"/>
      <c r="AQ11" s="9"/>
      <c r="AR11" s="9"/>
      <c r="AS11" s="9"/>
      <c r="AT11" s="9"/>
      <c r="AU11" s="9"/>
      <c r="AV11" s="9"/>
      <c r="AW11" s="9"/>
      <c r="AX11" s="9"/>
    </row>
    <row r="12" spans="1:50" ht="15" customHeight="1" thickBot="1">
      <c r="A12" s="178" t="s">
        <v>512</v>
      </c>
      <c r="B12" s="178">
        <v>1</v>
      </c>
      <c r="C12" s="186"/>
      <c r="D12" s="180" t="s">
        <v>514</v>
      </c>
      <c r="E12" s="183">
        <f>((Cálculos!AD7)/B12)/0.217</f>
        <v>49.311968045593915</v>
      </c>
      <c r="F12" s="183">
        <f>((Cálculos!AD8)/B12)/0.217</f>
        <v>49.78585607748132</v>
      </c>
      <c r="G12" s="186"/>
      <c r="H12" s="186"/>
      <c r="I12" s="186"/>
      <c r="J12" s="186"/>
      <c r="K12" s="187"/>
      <c r="L12" s="197"/>
      <c r="M12" s="187"/>
      <c r="N12" s="187"/>
      <c r="O12" s="187"/>
      <c r="P12" s="187"/>
      <c r="Q12" s="187"/>
      <c r="R12" s="187"/>
      <c r="S12" s="189"/>
      <c r="T12" s="159"/>
      <c r="V12" s="24"/>
      <c r="W12" s="29"/>
      <c r="X12" s="13"/>
      <c r="Y12"/>
      <c r="Z12"/>
      <c r="AA12"/>
      <c r="AB12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8"/>
      <c r="AP12" s="8"/>
      <c r="AQ12" s="9"/>
      <c r="AR12" s="9"/>
      <c r="AS12" s="9"/>
      <c r="AT12" s="9"/>
      <c r="AU12" s="9"/>
      <c r="AV12" s="9"/>
      <c r="AW12" s="9"/>
      <c r="AX12" s="9"/>
    </row>
    <row r="13" spans="1:50" ht="15" customHeight="1" thickBot="1">
      <c r="A13" s="187"/>
      <c r="B13" s="187"/>
      <c r="C13" s="186"/>
      <c r="D13" s="180" t="s">
        <v>515</v>
      </c>
      <c r="E13" s="212">
        <f>Cálculos!AK11</f>
        <v>93.995133728004291</v>
      </c>
      <c r="F13" s="212">
        <f>Cálculos!AL11</f>
        <v>94.669827288339391</v>
      </c>
      <c r="G13" s="186"/>
      <c r="H13" s="178" t="s">
        <v>23</v>
      </c>
      <c r="I13" s="180" t="s">
        <v>519</v>
      </c>
      <c r="J13" s="180" t="s">
        <v>518</v>
      </c>
      <c r="K13" s="181"/>
      <c r="L13" s="198"/>
      <c r="M13" s="187"/>
      <c r="N13" s="187"/>
      <c r="O13" s="187"/>
      <c r="P13" s="187"/>
      <c r="Q13" s="187"/>
      <c r="R13" s="187"/>
      <c r="S13" s="189"/>
      <c r="T13" s="159"/>
      <c r="V13" s="25"/>
      <c r="W13" s="29"/>
      <c r="X13" s="13"/>
      <c r="Y13" s="15"/>
      <c r="Z13" s="15"/>
      <c r="AA13" s="15"/>
      <c r="AB13" s="15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8"/>
      <c r="AP13" s="8"/>
      <c r="AQ13" s="9"/>
      <c r="AR13" s="9"/>
      <c r="AS13" s="9"/>
      <c r="AT13" s="9"/>
      <c r="AU13" s="9"/>
      <c r="AV13" s="9"/>
      <c r="AW13" s="9"/>
      <c r="AX13" s="9"/>
    </row>
    <row r="14" spans="1:50" ht="15" customHeight="1" thickBot="1">
      <c r="A14" s="199" t="s">
        <v>513</v>
      </c>
      <c r="B14" s="200">
        <f>Cálculos!V31</f>
        <v>2.1210963966614536</v>
      </c>
      <c r="C14" s="186"/>
      <c r="D14" s="178" t="s">
        <v>516</v>
      </c>
      <c r="E14" s="212" t="str">
        <f>Cálculos!AK10</f>
        <v>222.2</v>
      </c>
      <c r="F14" s="212" t="str">
        <f>Cálculos!AL10</f>
        <v>223.5</v>
      </c>
      <c r="G14" s="186"/>
      <c r="H14" s="180" t="s">
        <v>514</v>
      </c>
      <c r="I14" s="183">
        <f>Cálculos!AD21/0.217</f>
        <v>76.444390714176365</v>
      </c>
      <c r="J14" s="183">
        <f>Cálculos!AD22/0.217</f>
        <v>77.575483004644028</v>
      </c>
      <c r="K14" s="181"/>
      <c r="L14" s="196"/>
      <c r="M14" s="187"/>
      <c r="N14" s="187"/>
      <c r="O14" s="187"/>
      <c r="P14" s="187"/>
      <c r="Q14" s="187"/>
      <c r="R14" s="187"/>
      <c r="S14" s="189"/>
      <c r="T14" s="159"/>
      <c r="V14" s="26"/>
      <c r="W14" s="29"/>
      <c r="X14" s="13"/>
      <c r="Y14" s="14"/>
      <c r="Z14" s="14"/>
      <c r="AA14" s="14"/>
      <c r="AB14" s="14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8"/>
      <c r="AP14" s="8"/>
      <c r="AQ14" s="9"/>
      <c r="AR14" s="9"/>
      <c r="AS14" s="9"/>
      <c r="AT14" s="9"/>
      <c r="AU14" s="9"/>
      <c r="AV14" s="9"/>
      <c r="AW14" s="9"/>
      <c r="AX14" s="9"/>
    </row>
    <row r="15" spans="1:50" ht="15" customHeight="1" thickBot="1">
      <c r="A15" s="201" t="s">
        <v>52</v>
      </c>
      <c r="B15" s="201">
        <v>589</v>
      </c>
      <c r="C15" s="186"/>
      <c r="D15" s="181"/>
      <c r="E15" s="181"/>
      <c r="F15" s="181"/>
      <c r="G15" s="186"/>
      <c r="H15" s="180" t="s">
        <v>515</v>
      </c>
      <c r="I15" s="212">
        <f>Cálculos!AK26</f>
        <v>110.7537460732332</v>
      </c>
      <c r="J15" s="212">
        <f>Cálculos!AL26</f>
        <v>111.63602486747794</v>
      </c>
      <c r="K15" s="181"/>
      <c r="L15" s="202"/>
      <c r="M15" s="187"/>
      <c r="N15" s="187"/>
      <c r="O15" s="187"/>
      <c r="P15" s="187"/>
      <c r="Q15" s="203"/>
      <c r="R15" s="187"/>
      <c r="S15" s="189"/>
      <c r="T15" s="159"/>
      <c r="V15" s="10"/>
      <c r="W15" s="29"/>
      <c r="X15" s="10"/>
      <c r="Y15" s="10"/>
      <c r="Z15" s="10"/>
      <c r="AA15" s="10"/>
      <c r="AB15" s="10"/>
      <c r="AC15" s="10"/>
      <c r="AD15" s="10"/>
      <c r="AE15" s="10"/>
      <c r="AF15" s="13"/>
      <c r="AG15" s="13"/>
      <c r="AH15" s="13"/>
      <c r="AI15" s="13"/>
      <c r="AJ15" s="13"/>
      <c r="AK15" s="13"/>
      <c r="AL15" s="13"/>
      <c r="AM15" s="13"/>
      <c r="AN15" s="13"/>
      <c r="AO15" s="8"/>
      <c r="AP15" s="8"/>
      <c r="AQ15" s="9"/>
      <c r="AR15" s="9"/>
      <c r="AS15" s="9"/>
      <c r="AT15" s="9"/>
      <c r="AU15" s="9"/>
      <c r="AV15" s="9"/>
      <c r="AW15" s="9"/>
      <c r="AX15" s="9"/>
    </row>
    <row r="16" spans="1:50" ht="15" customHeight="1" thickBot="1">
      <c r="A16" s="201" t="s">
        <v>53</v>
      </c>
      <c r="B16" s="201">
        <v>450</v>
      </c>
      <c r="C16" s="186"/>
      <c r="D16" s="178" t="s">
        <v>503</v>
      </c>
      <c r="E16" s="180" t="s">
        <v>519</v>
      </c>
      <c r="F16" s="180" t="s">
        <v>518</v>
      </c>
      <c r="G16" s="186"/>
      <c r="H16" s="178" t="s">
        <v>516</v>
      </c>
      <c r="I16" s="212" t="e">
        <f>Cálculos!AK25</f>
        <v>#REF!</v>
      </c>
      <c r="J16" s="212" t="e">
        <f>Cálculos!AL25</f>
        <v>#REF!</v>
      </c>
      <c r="K16" s="181"/>
      <c r="L16" s="198"/>
      <c r="M16" s="198"/>
      <c r="N16" s="187"/>
      <c r="O16" s="187"/>
      <c r="P16" s="187"/>
      <c r="Q16" s="196"/>
      <c r="R16" s="187"/>
      <c r="S16" s="189"/>
      <c r="T16" s="159"/>
      <c r="U16" s="10"/>
      <c r="V16" s="10"/>
      <c r="W16" s="29"/>
      <c r="X16" s="10"/>
      <c r="Y16" s="10"/>
      <c r="Z16" s="10"/>
      <c r="AA16" s="10"/>
      <c r="AB16" s="10"/>
      <c r="AC16" s="10"/>
      <c r="AD16" s="10"/>
      <c r="AE16" s="10"/>
      <c r="AF16" s="13"/>
      <c r="AG16" s="13"/>
      <c r="AH16" s="13"/>
      <c r="AI16" s="13"/>
      <c r="AJ16" s="13"/>
      <c r="AK16" s="13"/>
      <c r="AL16" s="13"/>
      <c r="AM16" s="13"/>
      <c r="AN16" s="13"/>
      <c r="AO16" s="8"/>
      <c r="AP16" s="8"/>
      <c r="AQ16" s="9"/>
      <c r="AR16" s="9"/>
      <c r="AS16" s="9"/>
      <c r="AT16" s="9"/>
      <c r="AU16" s="9"/>
      <c r="AV16" s="9"/>
      <c r="AW16" s="9"/>
      <c r="AX16" s="9"/>
    </row>
    <row r="17" spans="1:50" ht="15" customHeight="1" thickBot="1">
      <c r="A17" s="204"/>
      <c r="B17" s="204"/>
      <c r="C17" s="186"/>
      <c r="D17" s="180" t="s">
        <v>514</v>
      </c>
      <c r="E17" s="183">
        <f>((Cálculos!AQ7)/B12)/0.217</f>
        <v>29.511392942291515</v>
      </c>
      <c r="F17" s="183">
        <f>((Cálculos!AQ8)/B12)/0.217</f>
        <v>29.689026542423381</v>
      </c>
      <c r="G17" s="186"/>
      <c r="H17" s="178" t="s">
        <v>517</v>
      </c>
      <c r="I17" s="214">
        <f>Cálculos!AK24</f>
        <v>9</v>
      </c>
      <c r="J17" s="214">
        <f>Cálculos!AL24</f>
        <v>9</v>
      </c>
      <c r="K17" s="196"/>
      <c r="L17" s="198"/>
      <c r="M17" s="187"/>
      <c r="N17" s="187"/>
      <c r="O17" s="187"/>
      <c r="P17" s="187"/>
      <c r="Q17" s="187"/>
      <c r="R17" s="187"/>
      <c r="S17" s="189"/>
      <c r="T17" s="159"/>
      <c r="U17" s="10"/>
      <c r="V17" s="10"/>
      <c r="W17" s="29"/>
      <c r="X17" s="10"/>
      <c r="Y17" s="10"/>
      <c r="Z17" s="10"/>
      <c r="AA17" s="10"/>
      <c r="AB17" s="10"/>
      <c r="AC17" s="10"/>
      <c r="AD17" s="10"/>
      <c r="AE17" s="10"/>
      <c r="AF17" s="13"/>
      <c r="AG17" s="13"/>
      <c r="AH17" s="13"/>
      <c r="AI17" s="13"/>
      <c r="AJ17" s="13"/>
      <c r="AK17" s="13"/>
      <c r="AL17" s="13"/>
      <c r="AM17" s="13"/>
      <c r="AN17" s="13"/>
      <c r="AO17" s="8"/>
      <c r="AP17" s="8"/>
      <c r="AQ17" s="9"/>
      <c r="AR17" s="9"/>
      <c r="AS17" s="9"/>
      <c r="AT17" s="9"/>
      <c r="AU17" s="9"/>
      <c r="AV17" s="9"/>
      <c r="AW17" s="9"/>
      <c r="AX17" s="9"/>
    </row>
    <row r="18" spans="1:50" ht="15" customHeight="1" thickBot="1">
      <c r="A18" s="204"/>
      <c r="B18" s="204"/>
      <c r="C18" s="186"/>
      <c r="D18" s="180" t="s">
        <v>515</v>
      </c>
      <c r="E18" s="212">
        <f>Cálculos!AX11</f>
        <v>80.197772812054751</v>
      </c>
      <c r="F18" s="212">
        <f>Cálculos!AY11</f>
        <v>80.566928049300969</v>
      </c>
      <c r="G18" s="186"/>
      <c r="H18" s="204"/>
      <c r="I18" s="204"/>
      <c r="J18" s="204"/>
      <c r="K18" s="181"/>
      <c r="L18" s="196"/>
      <c r="M18" s="187"/>
      <c r="N18" s="187"/>
      <c r="O18" s="187"/>
      <c r="P18" s="187"/>
      <c r="Q18" s="187"/>
      <c r="R18" s="187"/>
      <c r="S18" s="189"/>
      <c r="T18" s="160"/>
      <c r="U18" s="10"/>
      <c r="V18" s="10"/>
      <c r="W18" s="29"/>
      <c r="X18" s="10"/>
      <c r="Y18" s="10"/>
      <c r="Z18" s="10"/>
      <c r="AA18" s="10"/>
      <c r="AB18" s="10"/>
      <c r="AC18" s="10"/>
      <c r="AD18" s="10"/>
      <c r="AE18" s="10"/>
      <c r="AF18" s="13"/>
      <c r="AG18" s="13"/>
      <c r="AH18" s="13"/>
      <c r="AI18" s="13"/>
      <c r="AJ18" s="13"/>
      <c r="AK18" s="13"/>
      <c r="AL18" s="13"/>
      <c r="AM18" s="13"/>
      <c r="AN18" s="13"/>
      <c r="AO18" s="8"/>
      <c r="AP18" s="8"/>
      <c r="AQ18" s="9"/>
      <c r="AR18" s="9"/>
      <c r="AS18" s="9"/>
      <c r="AT18" s="9"/>
      <c r="AU18" s="9"/>
      <c r="AV18" s="9"/>
      <c r="AW18" s="9"/>
      <c r="AX18" s="9"/>
    </row>
    <row r="19" spans="1:50" ht="15" customHeight="1" thickBot="1">
      <c r="A19" s="204"/>
      <c r="B19" s="204"/>
      <c r="C19" s="186"/>
      <c r="D19" s="178" t="s">
        <v>516</v>
      </c>
      <c r="E19" s="212" t="str">
        <f>Cálculos!AX10</f>
        <v>229.6</v>
      </c>
      <c r="F19" s="212" t="str">
        <f>Cálculos!AY10</f>
        <v>231.2</v>
      </c>
      <c r="G19" s="187"/>
      <c r="H19" s="178" t="s">
        <v>504</v>
      </c>
      <c r="I19" s="180" t="s">
        <v>519</v>
      </c>
      <c r="J19" s="180" t="s">
        <v>518</v>
      </c>
      <c r="K19" s="196"/>
      <c r="L19" s="196"/>
      <c r="M19" s="203"/>
      <c r="N19" s="187"/>
      <c r="O19" s="187"/>
      <c r="P19" s="187"/>
      <c r="Q19" s="187"/>
      <c r="R19" s="187"/>
      <c r="S19" s="189"/>
      <c r="T19" s="159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3"/>
      <c r="AG19" s="13"/>
      <c r="AH19" s="13"/>
      <c r="AI19" s="13"/>
      <c r="AJ19" s="13"/>
      <c r="AK19" s="13"/>
      <c r="AL19" s="13"/>
      <c r="AM19" s="13"/>
      <c r="AN19" s="13"/>
      <c r="AO19" s="8"/>
      <c r="AP19" s="8"/>
      <c r="AQ19" s="9"/>
      <c r="AR19" s="9"/>
      <c r="AS19" s="9"/>
      <c r="AT19" s="9"/>
      <c r="AU19" s="9"/>
      <c r="AV19" s="9"/>
      <c r="AW19" s="9"/>
      <c r="AX19" s="9"/>
    </row>
    <row r="20" spans="1:50" ht="15" customHeight="1" thickBot="1">
      <c r="A20" s="205"/>
      <c r="B20" s="205"/>
      <c r="C20" s="205"/>
      <c r="D20" s="205"/>
      <c r="E20" s="205"/>
      <c r="F20" s="205"/>
      <c r="G20" s="188"/>
      <c r="H20" s="180" t="s">
        <v>514</v>
      </c>
      <c r="I20" s="183">
        <f>((Cálculos!AQ21)/B12)/0.217</f>
        <v>45.880590229489457</v>
      </c>
      <c r="J20" s="183">
        <f>((Cálculos!AQ22)/B12)/0.217</f>
        <v>46.29924176804365</v>
      </c>
      <c r="K20" s="188"/>
      <c r="L20" s="188"/>
      <c r="M20" s="188"/>
      <c r="N20" s="188"/>
      <c r="O20" s="188"/>
      <c r="P20" s="188"/>
      <c r="Q20" s="188"/>
      <c r="R20" s="188"/>
      <c r="S20" s="189"/>
      <c r="T20" s="159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3"/>
      <c r="AG20" s="13"/>
      <c r="AH20" s="13"/>
      <c r="AI20" s="13"/>
      <c r="AJ20" s="13"/>
      <c r="AK20" s="13"/>
      <c r="AL20" s="13"/>
      <c r="AM20" s="13"/>
      <c r="AN20" s="13"/>
      <c r="AO20" s="8"/>
      <c r="AP20" s="8"/>
      <c r="AQ20" s="9"/>
      <c r="AR20" s="9"/>
      <c r="AS20" s="9"/>
      <c r="AT20" s="9"/>
      <c r="AU20" s="9"/>
      <c r="AV20" s="9"/>
      <c r="AW20" s="9"/>
      <c r="AX20" s="9"/>
    </row>
    <row r="21" spans="1:50" ht="15" customHeight="1" thickBot="1">
      <c r="A21" s="188"/>
      <c r="B21" s="188"/>
      <c r="C21" s="188"/>
      <c r="D21" s="188"/>
      <c r="E21" s="188"/>
      <c r="F21" s="188"/>
      <c r="G21" s="195"/>
      <c r="H21" s="180" t="s">
        <v>515</v>
      </c>
      <c r="I21" s="212">
        <f>Cálculos!AX26</f>
        <v>96.146423714120331</v>
      </c>
      <c r="J21" s="212">
        <f>Cálculos!AY26</f>
        <v>96.662454180523952</v>
      </c>
      <c r="K21" s="188"/>
      <c r="L21" s="188"/>
      <c r="M21" s="188"/>
      <c r="N21" s="188"/>
      <c r="O21" s="188"/>
      <c r="P21" s="206"/>
      <c r="Q21" s="188"/>
      <c r="R21" s="188"/>
      <c r="S21" s="189"/>
      <c r="T21" s="159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3"/>
      <c r="AG21" s="13"/>
      <c r="AH21" s="13"/>
      <c r="AI21" s="13"/>
      <c r="AJ21" s="13"/>
      <c r="AK21" s="13"/>
      <c r="AL21" s="13"/>
      <c r="AM21" s="13"/>
      <c r="AN21" s="13"/>
      <c r="AO21" s="8"/>
      <c r="AP21" s="8"/>
      <c r="AQ21" s="9"/>
      <c r="AR21" s="9"/>
      <c r="AS21" s="9"/>
      <c r="AT21" s="9"/>
      <c r="AU21" s="9"/>
      <c r="AV21" s="9"/>
      <c r="AW21" s="9"/>
      <c r="AX21" s="9"/>
    </row>
    <row r="22" spans="1:50" ht="15" customHeight="1" thickBot="1">
      <c r="A22" s="188"/>
      <c r="B22" s="188"/>
      <c r="C22" s="188"/>
      <c r="D22" s="188"/>
      <c r="E22" s="195"/>
      <c r="F22" s="206"/>
      <c r="G22" s="188"/>
      <c r="H22" s="178" t="s">
        <v>516</v>
      </c>
      <c r="I22" s="212" t="str">
        <f>Cálculos!AX25</f>
        <v>265.3</v>
      </c>
      <c r="J22" s="212" t="str">
        <f>Cálculos!AY25</f>
        <v>266.8</v>
      </c>
      <c r="K22" s="188"/>
      <c r="L22" s="188"/>
      <c r="M22" s="207"/>
      <c r="N22" s="188"/>
      <c r="O22" s="188"/>
      <c r="P22" s="188"/>
      <c r="Q22" s="188"/>
      <c r="R22" s="188"/>
      <c r="S22" s="189"/>
      <c r="T22" s="159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3"/>
      <c r="AG22" s="13"/>
      <c r="AH22" s="13"/>
      <c r="AI22" s="13"/>
      <c r="AJ22" s="13"/>
      <c r="AK22" s="13"/>
      <c r="AL22" s="13"/>
      <c r="AM22" s="13"/>
      <c r="AN22" s="13"/>
      <c r="AO22" s="8"/>
      <c r="AP22" s="8"/>
      <c r="AQ22" s="9"/>
      <c r="AR22" s="9"/>
      <c r="AS22" s="9"/>
      <c r="AT22" s="9"/>
      <c r="AU22" s="9"/>
      <c r="AV22" s="9"/>
      <c r="AW22" s="9"/>
      <c r="AX22" s="9"/>
    </row>
    <row r="23" spans="1:50" ht="15" customHeight="1" thickBot="1">
      <c r="A23" s="188"/>
      <c r="B23" s="188"/>
      <c r="C23" s="188"/>
      <c r="D23" s="188"/>
      <c r="E23" s="195"/>
      <c r="F23" s="195"/>
      <c r="G23" s="195"/>
      <c r="H23" s="178" t="s">
        <v>517</v>
      </c>
      <c r="I23" s="214">
        <f>Cálculos!AX24</f>
        <v>9</v>
      </c>
      <c r="J23" s="214">
        <f>Cálculos!AY24</f>
        <v>9</v>
      </c>
      <c r="K23" s="188"/>
      <c r="L23" s="188"/>
      <c r="M23" s="188"/>
      <c r="N23" s="188"/>
      <c r="O23" s="188"/>
      <c r="P23" s="188"/>
      <c r="Q23" s="188"/>
      <c r="R23" s="188"/>
      <c r="S23" s="208"/>
      <c r="T23" s="162"/>
      <c r="U23" s="14"/>
      <c r="V23" s="14"/>
      <c r="W23" s="14"/>
      <c r="X23" s="13"/>
      <c r="Y23" s="15"/>
      <c r="Z23" s="15"/>
      <c r="AA23" s="15"/>
      <c r="AB23" s="15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8"/>
      <c r="AP23" s="8"/>
      <c r="AQ23" s="9"/>
      <c r="AR23" s="9"/>
      <c r="AS23" s="9"/>
      <c r="AT23" s="9"/>
      <c r="AU23" s="9"/>
      <c r="AV23" s="9"/>
      <c r="AW23" s="9"/>
      <c r="AX23" s="9"/>
    </row>
    <row r="24" spans="1:50" ht="15" customHeight="1">
      <c r="A24" s="189"/>
      <c r="B24" s="189"/>
      <c r="C24" s="185"/>
      <c r="D24" s="189"/>
      <c r="E24" s="195"/>
      <c r="F24" s="208"/>
      <c r="G24" s="182"/>
      <c r="H24" s="189"/>
      <c r="I24" s="208"/>
      <c r="J24" s="189"/>
      <c r="K24" s="185"/>
      <c r="L24" s="209"/>
      <c r="M24" s="209"/>
      <c r="N24" s="209"/>
      <c r="O24" s="189"/>
      <c r="P24" s="189"/>
      <c r="Q24" s="189"/>
      <c r="R24" s="189"/>
      <c r="S24" s="210"/>
      <c r="T24" s="161"/>
      <c r="U24" s="14"/>
      <c r="V24" s="14"/>
      <c r="W24" s="14"/>
      <c r="X24" s="13"/>
      <c r="Y24" s="16"/>
      <c r="Z24" s="16"/>
      <c r="AA24" s="16"/>
      <c r="AB24" s="16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8"/>
      <c r="AP24" s="8"/>
      <c r="AQ24" s="9"/>
      <c r="AR24" s="9"/>
      <c r="AS24" s="9"/>
      <c r="AT24" s="9"/>
      <c r="AU24" s="9"/>
      <c r="AV24" s="9"/>
      <c r="AW24" s="9"/>
      <c r="AX24" s="9"/>
    </row>
    <row r="25" spans="1:50" ht="15" customHeight="1">
      <c r="A25" s="189"/>
      <c r="B25" s="189"/>
      <c r="C25" s="185"/>
      <c r="D25" s="209"/>
      <c r="E25" s="209"/>
      <c r="F25" s="209"/>
      <c r="G25" s="185"/>
      <c r="H25" s="189"/>
      <c r="I25" s="189"/>
      <c r="J25" s="189"/>
      <c r="K25" s="185"/>
      <c r="L25" s="209"/>
      <c r="M25" s="209"/>
      <c r="N25" s="209"/>
      <c r="O25" s="189"/>
      <c r="P25" s="189"/>
      <c r="Q25" s="189"/>
      <c r="R25" s="189"/>
      <c r="S25" s="208"/>
      <c r="T25" s="161"/>
      <c r="U25" s="14"/>
      <c r="V25" s="14"/>
      <c r="W25" s="14"/>
      <c r="X25" s="13"/>
      <c r="Y25" s="16"/>
      <c r="Z25" s="16"/>
      <c r="AA25" s="16"/>
      <c r="AB25" s="16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8"/>
      <c r="AP25" s="8"/>
      <c r="AQ25" s="9"/>
      <c r="AR25" s="9"/>
      <c r="AS25" s="9"/>
      <c r="AT25" s="9"/>
      <c r="AU25" s="9"/>
      <c r="AV25" s="9"/>
      <c r="AW25" s="9"/>
      <c r="AX25" s="9"/>
    </row>
    <row r="26" spans="1:50" ht="15" customHeight="1">
      <c r="A26" s="157"/>
      <c r="B26" s="157"/>
      <c r="C26" s="158"/>
      <c r="D26" s="157"/>
      <c r="E26" s="157"/>
      <c r="F26" s="157"/>
      <c r="G26" s="158"/>
      <c r="H26" s="159"/>
      <c r="I26" s="159"/>
      <c r="J26" s="159"/>
      <c r="K26" s="158"/>
      <c r="L26" s="157"/>
      <c r="M26" s="157"/>
      <c r="N26" s="157"/>
      <c r="O26" s="159"/>
      <c r="P26" s="159"/>
      <c r="Q26" s="159"/>
      <c r="R26" s="159"/>
      <c r="S26" s="161"/>
      <c r="T26" s="161"/>
      <c r="U26" s="12"/>
      <c r="V26" s="12"/>
      <c r="W26" s="13"/>
      <c r="X26" s="13"/>
      <c r="Y26" s="16"/>
      <c r="Z26" s="16"/>
      <c r="AA26" s="16"/>
      <c r="AB26" s="16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8"/>
      <c r="AP26" s="8"/>
      <c r="AQ26" s="9"/>
      <c r="AR26" s="9"/>
      <c r="AS26" s="9"/>
      <c r="AT26" s="9"/>
      <c r="AU26" s="9"/>
      <c r="AV26" s="9"/>
      <c r="AW26" s="9"/>
      <c r="AX26" s="9"/>
    </row>
    <row r="27" spans="1:50" ht="15" customHeight="1">
      <c r="A27" s="103"/>
      <c r="B27" s="103"/>
      <c r="C27" s="48"/>
      <c r="E27" s="89"/>
      <c r="G27" s="48"/>
      <c r="H27" s="5"/>
      <c r="I27"/>
      <c r="J27" s="149"/>
      <c r="K27" s="48"/>
      <c r="O27"/>
      <c r="P27"/>
      <c r="Q27"/>
      <c r="R27"/>
      <c r="S27" s="113"/>
      <c r="T27" s="113"/>
      <c r="U27" s="12"/>
      <c r="V27" s="12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8"/>
      <c r="AP27" s="8"/>
      <c r="AQ27" s="9"/>
      <c r="AR27" s="9"/>
      <c r="AS27" s="9"/>
      <c r="AT27" s="9"/>
      <c r="AU27" s="9"/>
      <c r="AV27" s="9"/>
      <c r="AW27" s="9"/>
      <c r="AX27" s="9"/>
    </row>
    <row r="28" spans="1:50" ht="15" customHeight="1">
      <c r="C28" s="48"/>
      <c r="D28" s="89"/>
      <c r="F28" s="103"/>
      <c r="G28" s="125"/>
      <c r="H28" s="5"/>
      <c r="I28"/>
      <c r="J28"/>
      <c r="K28"/>
      <c r="L28"/>
      <c r="M28"/>
      <c r="N28"/>
      <c r="O28"/>
      <c r="P28"/>
      <c r="Q28"/>
      <c r="R28"/>
      <c r="S28"/>
      <c r="T28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8"/>
      <c r="AP28" s="8"/>
      <c r="AQ28" s="9"/>
      <c r="AR28" s="9"/>
      <c r="AS28" s="9"/>
      <c r="AT28" s="9"/>
      <c r="AU28" s="9"/>
      <c r="AV28" s="9"/>
      <c r="AW28" s="9"/>
      <c r="AX28" s="9"/>
    </row>
    <row r="29" spans="1:50" ht="15" customHeight="1">
      <c r="B29" s="103"/>
      <c r="C29" s="47"/>
      <c r="D29" s="47"/>
      <c r="E29" s="47"/>
      <c r="F29" s="151"/>
      <c r="G29" s="48"/>
      <c r="H29" s="5"/>
      <c r="I29" s="156"/>
      <c r="J29"/>
      <c r="K29"/>
      <c r="L29"/>
      <c r="M29"/>
      <c r="N29"/>
      <c r="O29"/>
      <c r="P29"/>
      <c r="Q29"/>
      <c r="R29"/>
      <c r="S29"/>
      <c r="T29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8"/>
      <c r="AP29" s="8"/>
      <c r="AQ29" s="9"/>
      <c r="AR29" s="9"/>
      <c r="AS29" s="9"/>
      <c r="AT29" s="9"/>
      <c r="AU29" s="9"/>
      <c r="AV29" s="9"/>
      <c r="AW29" s="9"/>
      <c r="AX29" s="9"/>
    </row>
    <row r="30" spans="1:50" ht="15" customHeight="1">
      <c r="C30" s="34"/>
      <c r="D30" s="34"/>
      <c r="E30" s="34"/>
      <c r="F30" s="32"/>
      <c r="G30"/>
      <c r="H30"/>
      <c r="I30" s="150" t="s">
        <v>494</v>
      </c>
      <c r="J30"/>
      <c r="K30"/>
      <c r="L30"/>
      <c r="M30"/>
      <c r="N30"/>
      <c r="O30"/>
      <c r="P30"/>
      <c r="Q30"/>
      <c r="R30"/>
      <c r="S30"/>
      <c r="T30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8"/>
      <c r="AP30" s="8"/>
      <c r="AQ30" s="9"/>
      <c r="AR30" s="9"/>
      <c r="AS30" s="9"/>
      <c r="AT30" s="9"/>
      <c r="AU30" s="9"/>
      <c r="AV30" s="9"/>
      <c r="AW30" s="9"/>
      <c r="AX30" s="9"/>
    </row>
    <row r="31" spans="1:50" ht="15" customHeight="1">
      <c r="C31" s="32"/>
      <c r="D31" s="32"/>
      <c r="E31" s="32"/>
      <c r="F31" s="32"/>
      <c r="G31" s="32"/>
      <c r="H31"/>
      <c r="I31"/>
      <c r="J31"/>
      <c r="K31"/>
      <c r="L31"/>
      <c r="M31"/>
      <c r="N31"/>
      <c r="O31"/>
      <c r="P31"/>
      <c r="Q31"/>
      <c r="R31"/>
      <c r="S31"/>
      <c r="T31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8"/>
      <c r="AP31" s="8"/>
      <c r="AQ31" s="9"/>
      <c r="AR31" s="9"/>
      <c r="AS31" s="9"/>
      <c r="AT31" s="9"/>
      <c r="AU31" s="9"/>
      <c r="AV31" s="9"/>
      <c r="AW31" s="9"/>
      <c r="AX31" s="9"/>
    </row>
    <row r="32" spans="1:50" ht="15" customHeight="1">
      <c r="C32" s="32"/>
      <c r="D32" s="32"/>
      <c r="E32" s="32"/>
      <c r="F32" s="32"/>
      <c r="G32" s="32"/>
      <c r="H32"/>
      <c r="I32"/>
      <c r="J32"/>
      <c r="K32"/>
      <c r="L32"/>
      <c r="M32"/>
      <c r="N32"/>
      <c r="O32"/>
      <c r="P32"/>
      <c r="Q32"/>
      <c r="R32"/>
      <c r="S32"/>
      <c r="T32"/>
      <c r="U32" s="10"/>
      <c r="V32" s="10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8"/>
      <c r="AP32" s="8"/>
      <c r="AQ32" s="9"/>
      <c r="AR32" s="9"/>
      <c r="AS32" s="9"/>
      <c r="AT32" s="9"/>
      <c r="AU32" s="9"/>
      <c r="AV32" s="9"/>
      <c r="AW32" s="9"/>
      <c r="AX32" s="9"/>
    </row>
    <row r="33" spans="1:50" ht="15" customHeight="1">
      <c r="C33" s="32"/>
      <c r="D33" s="32"/>
      <c r="E33" s="32"/>
      <c r="F33" s="32"/>
      <c r="G33" s="32"/>
      <c r="H33"/>
      <c r="I33"/>
      <c r="J33"/>
      <c r="K33"/>
      <c r="L33"/>
      <c r="M33"/>
      <c r="N33"/>
      <c r="O33"/>
      <c r="P33"/>
      <c r="Q33"/>
      <c r="R33"/>
      <c r="S33"/>
      <c r="T33"/>
      <c r="U33" s="10"/>
      <c r="V33" s="10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8"/>
      <c r="AP33" s="8"/>
      <c r="AQ33" s="9"/>
      <c r="AR33" s="9"/>
      <c r="AS33" s="9"/>
      <c r="AT33" s="9"/>
      <c r="AU33" s="9"/>
      <c r="AV33" s="9"/>
      <c r="AW33" s="9"/>
      <c r="AX33" s="9"/>
    </row>
    <row r="34" spans="1:50" ht="13.5" customHeight="1">
      <c r="A34" s="33"/>
      <c r="B34" s="33"/>
      <c r="C34" s="32"/>
      <c r="D34" s="32"/>
      <c r="E34" s="32"/>
      <c r="F34" s="32"/>
      <c r="G34" s="32"/>
      <c r="H34"/>
      <c r="I34"/>
      <c r="J34"/>
      <c r="K34" s="32"/>
      <c r="O34" s="32"/>
      <c r="P34" s="32"/>
      <c r="Q34" s="32"/>
      <c r="R34" s="35"/>
      <c r="S34" s="36"/>
      <c r="T34" s="12"/>
      <c r="U34" s="10"/>
      <c r="V34" s="10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8"/>
      <c r="AP34" s="8"/>
      <c r="AQ34" s="9"/>
      <c r="AR34" s="9"/>
      <c r="AS34" s="9"/>
      <c r="AT34" s="9"/>
      <c r="AU34" s="9"/>
      <c r="AV34" s="9"/>
      <c r="AW34" s="9"/>
      <c r="AX34" s="9"/>
    </row>
    <row r="35" spans="1:50" ht="13.5" customHeight="1">
      <c r="A35" s="10"/>
      <c r="B35" s="10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 s="12"/>
      <c r="S35" s="17"/>
      <c r="T35" s="12"/>
      <c r="U35" s="10"/>
      <c r="V35" s="10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8"/>
      <c r="AP35" s="8"/>
      <c r="AQ35" s="9"/>
      <c r="AR35" s="9"/>
      <c r="AS35" s="9"/>
      <c r="AT35" s="9"/>
      <c r="AU35" s="9"/>
      <c r="AV35" s="9"/>
      <c r="AW35" s="9"/>
      <c r="AX35" s="9"/>
    </row>
    <row r="36" spans="1:50" ht="13.5" customHeight="1">
      <c r="A36" s="10"/>
      <c r="B36" s="10"/>
      <c r="C36"/>
      <c r="D36"/>
      <c r="E36"/>
      <c r="F36"/>
      <c r="G36"/>
      <c r="K36"/>
      <c r="L36"/>
      <c r="M36"/>
      <c r="N36"/>
      <c r="O36"/>
      <c r="P36"/>
      <c r="Q36"/>
      <c r="R36" s="12"/>
      <c r="S36" s="17"/>
      <c r="T36" s="12"/>
      <c r="U36" s="10"/>
      <c r="V36" s="10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8"/>
      <c r="AP36" s="8"/>
      <c r="AQ36" s="9"/>
      <c r="AR36" s="9"/>
      <c r="AS36" s="9"/>
      <c r="AT36" s="9"/>
      <c r="AU36" s="9"/>
      <c r="AV36" s="9"/>
      <c r="AW36" s="9"/>
      <c r="AX36" s="9"/>
    </row>
    <row r="37" spans="1:50" ht="13.5" customHeight="1">
      <c r="A37" s="10"/>
      <c r="B37" s="10"/>
      <c r="C37"/>
      <c r="D37"/>
      <c r="E37"/>
      <c r="F37"/>
      <c r="G37"/>
      <c r="K37"/>
      <c r="L37"/>
      <c r="M37"/>
      <c r="N37"/>
      <c r="O37"/>
      <c r="P37"/>
      <c r="Q37"/>
      <c r="R37" s="12"/>
      <c r="S37" s="12"/>
      <c r="T37" s="12"/>
      <c r="U37" s="10"/>
      <c r="V37" s="10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8"/>
      <c r="AP37" s="8"/>
      <c r="AQ37" s="9"/>
      <c r="AR37" s="9"/>
      <c r="AS37" s="9"/>
      <c r="AT37" s="9"/>
      <c r="AU37" s="9"/>
      <c r="AV37" s="9"/>
      <c r="AW37" s="9"/>
      <c r="AX37" s="9"/>
    </row>
    <row r="38" spans="1:50" ht="13.5" customHeight="1">
      <c r="A38" s="10"/>
      <c r="B38" s="10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 s="12"/>
      <c r="S38" s="12"/>
      <c r="T38" s="12"/>
      <c r="U38" s="10"/>
      <c r="V38" s="10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8"/>
      <c r="AP38" s="8"/>
      <c r="AQ38" s="9"/>
      <c r="AR38" s="9"/>
      <c r="AS38" s="9"/>
      <c r="AT38" s="9"/>
      <c r="AU38" s="9"/>
      <c r="AV38" s="9"/>
      <c r="AW38" s="9"/>
      <c r="AX38" s="9"/>
    </row>
    <row r="39" spans="1:50" ht="13.5" customHeight="1">
      <c r="A39" s="10"/>
      <c r="B39" s="10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 s="12"/>
      <c r="S39" s="12"/>
      <c r="T39" s="13"/>
      <c r="U39" s="10"/>
      <c r="V39" s="10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8"/>
      <c r="AP39" s="8"/>
      <c r="AQ39" s="9"/>
      <c r="AR39" s="9"/>
      <c r="AS39" s="9"/>
      <c r="AT39" s="9"/>
      <c r="AU39" s="9"/>
      <c r="AV39" s="9"/>
      <c r="AW39" s="9"/>
      <c r="AX39" s="9"/>
    </row>
    <row r="40" spans="1:50" ht="13.5" customHeight="1">
      <c r="A40" s="10"/>
      <c r="B40" s="1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 s="12"/>
      <c r="S40" s="12"/>
      <c r="T40" s="13"/>
      <c r="U40" s="10"/>
      <c r="V40" s="10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8"/>
      <c r="AP40" s="8"/>
      <c r="AQ40" s="9"/>
      <c r="AR40" s="9"/>
      <c r="AS40" s="9"/>
      <c r="AT40" s="9"/>
      <c r="AU40" s="9"/>
      <c r="AV40" s="9"/>
      <c r="AW40" s="9"/>
      <c r="AX40" s="9"/>
    </row>
    <row r="41" spans="1:50" ht="13.5" customHeight="1">
      <c r="A41" s="10"/>
      <c r="B41" s="10"/>
      <c r="C41" s="10"/>
      <c r="D41" s="10"/>
      <c r="E41" s="10"/>
      <c r="F41" s="10"/>
      <c r="G41" s="10"/>
      <c r="H41" s="10"/>
      <c r="I41" s="10"/>
      <c r="J41" s="12"/>
      <c r="K41" s="12"/>
      <c r="L41" s="10"/>
      <c r="M41" s="10"/>
      <c r="N41" s="10"/>
      <c r="O41" s="18"/>
      <c r="P41" s="10"/>
      <c r="Q41" s="10"/>
      <c r="R41" s="12"/>
      <c r="S41" s="12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8"/>
      <c r="AP41" s="8"/>
      <c r="AQ41" s="9"/>
      <c r="AR41" s="9"/>
      <c r="AS41" s="9"/>
      <c r="AT41" s="9"/>
      <c r="AU41" s="9"/>
      <c r="AV41" s="9"/>
      <c r="AW41" s="9"/>
      <c r="AX41" s="9"/>
    </row>
    <row r="42" spans="1:50" ht="13.5" customHeight="1">
      <c r="A42" s="10"/>
      <c r="B42" s="10"/>
      <c r="C42" s="10"/>
      <c r="D42" s="10"/>
      <c r="E42" s="10"/>
      <c r="F42" s="10"/>
      <c r="G42" s="10"/>
      <c r="H42" s="10"/>
      <c r="I42" s="10"/>
      <c r="J42" s="12"/>
      <c r="K42" s="12"/>
      <c r="L42" s="10"/>
      <c r="M42" s="10"/>
      <c r="N42" s="10"/>
      <c r="O42" s="19"/>
      <c r="P42" s="10"/>
      <c r="Q42" s="10"/>
      <c r="R42" s="12"/>
      <c r="S42" s="12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8"/>
      <c r="AP42" s="8"/>
      <c r="AQ42" s="9"/>
      <c r="AR42" s="9"/>
      <c r="AS42" s="9"/>
      <c r="AT42" s="9"/>
      <c r="AU42" s="9"/>
      <c r="AV42" s="9"/>
      <c r="AW42" s="9"/>
      <c r="AX42" s="9"/>
    </row>
    <row r="43" spans="1:50" ht="13.5" customHeight="1">
      <c r="A43" s="10"/>
      <c r="B43" s="10"/>
      <c r="C43" s="10"/>
      <c r="D43" s="10"/>
      <c r="E43" s="10"/>
      <c r="F43" s="10"/>
      <c r="G43" s="10"/>
      <c r="H43" s="10"/>
      <c r="I43" s="10"/>
      <c r="J43" s="12"/>
      <c r="K43" s="12"/>
      <c r="L43" s="10"/>
      <c r="M43" s="10"/>
      <c r="N43" s="10"/>
      <c r="O43" s="19"/>
      <c r="P43" s="10"/>
      <c r="Q43" s="10"/>
      <c r="R43" s="12"/>
      <c r="S43" s="12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8"/>
      <c r="AP43" s="8"/>
      <c r="AQ43" s="9"/>
      <c r="AR43" s="9"/>
      <c r="AS43" s="9"/>
      <c r="AT43" s="9"/>
      <c r="AU43" s="9"/>
      <c r="AV43" s="9"/>
      <c r="AW43" s="9"/>
      <c r="AX43" s="9"/>
    </row>
    <row r="44" spans="1:50" ht="13.5" customHeight="1">
      <c r="A44" s="10"/>
      <c r="B44" s="10"/>
      <c r="C44" s="10"/>
      <c r="D44" s="10"/>
      <c r="E44" s="10"/>
      <c r="F44" s="10"/>
      <c r="G44" s="10"/>
      <c r="H44" s="10"/>
      <c r="I44" s="10"/>
      <c r="J44" s="12"/>
      <c r="K44" s="12"/>
      <c r="L44" s="10"/>
      <c r="M44" s="10"/>
      <c r="N44" s="10"/>
      <c r="O44" s="19"/>
      <c r="P44" s="10"/>
      <c r="Q44" s="10"/>
      <c r="R44" s="12"/>
      <c r="S44" s="12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8"/>
      <c r="AP44" s="8"/>
      <c r="AQ44" s="9"/>
      <c r="AR44" s="9"/>
      <c r="AS44" s="9"/>
      <c r="AT44" s="9"/>
      <c r="AU44" s="9"/>
      <c r="AV44" s="9"/>
      <c r="AW44" s="9"/>
      <c r="AX44" s="9"/>
    </row>
    <row r="45" spans="1:50" ht="13.5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2"/>
      <c r="S45" s="12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8"/>
      <c r="AP45" s="8"/>
      <c r="AQ45" s="9"/>
      <c r="AR45" s="9"/>
      <c r="AS45" s="9"/>
      <c r="AT45" s="9"/>
      <c r="AU45" s="9"/>
      <c r="AV45" s="9"/>
      <c r="AW45" s="9"/>
      <c r="AX45" s="9"/>
    </row>
    <row r="46" spans="1:50" ht="13.5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2"/>
      <c r="S46" s="12"/>
      <c r="T46" s="12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8"/>
      <c r="AP46" s="8"/>
      <c r="AQ46" s="9"/>
      <c r="AR46" s="9"/>
      <c r="AS46" s="9"/>
      <c r="AT46" s="9"/>
      <c r="AU46" s="9"/>
      <c r="AV46" s="9"/>
      <c r="AW46" s="9"/>
      <c r="AX46" s="9"/>
    </row>
    <row r="47" spans="1:50" ht="13.5" customHeight="1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2"/>
      <c r="S47" s="12"/>
      <c r="T47" s="12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8"/>
      <c r="AP47" s="8"/>
      <c r="AQ47" s="9"/>
      <c r="AR47" s="9"/>
      <c r="AS47" s="9"/>
      <c r="AT47" s="9"/>
      <c r="AU47" s="9"/>
      <c r="AV47" s="9"/>
      <c r="AW47" s="9"/>
      <c r="AX47" s="9"/>
    </row>
    <row r="48" spans="1:50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2"/>
      <c r="S48" s="12"/>
      <c r="T48" s="12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8"/>
      <c r="AP48" s="8"/>
      <c r="AQ48" s="9"/>
      <c r="AR48" s="9"/>
      <c r="AS48" s="9"/>
      <c r="AT48" s="9"/>
      <c r="AU48" s="9"/>
      <c r="AV48" s="9"/>
      <c r="AW48" s="9"/>
      <c r="AX48" s="9"/>
    </row>
    <row r="49" spans="1:50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8"/>
      <c r="AP49" s="8"/>
      <c r="AQ49" s="9"/>
      <c r="AR49" s="9"/>
      <c r="AS49" s="9"/>
      <c r="AT49" s="9"/>
      <c r="AU49" s="9"/>
      <c r="AV49" s="9"/>
      <c r="AW49" s="9"/>
      <c r="AX49" s="9"/>
    </row>
    <row r="50" spans="1:50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8"/>
      <c r="AP50" s="8"/>
      <c r="AQ50" s="9"/>
      <c r="AR50" s="9"/>
      <c r="AS50" s="9"/>
      <c r="AT50" s="9"/>
      <c r="AU50" s="9"/>
      <c r="AV50" s="9"/>
      <c r="AW50" s="9"/>
      <c r="AX50" s="9"/>
    </row>
    <row r="51" spans="1:50">
      <c r="A51" s="12"/>
      <c r="B51" s="12"/>
      <c r="C51" s="20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8"/>
      <c r="AP51" s="8"/>
      <c r="AQ51" s="9"/>
      <c r="AR51" s="9"/>
      <c r="AS51" s="9"/>
      <c r="AT51" s="9"/>
      <c r="AU51" s="9"/>
      <c r="AV51" s="9"/>
      <c r="AW51" s="9"/>
      <c r="AX51" s="9"/>
    </row>
    <row r="52" spans="1:50">
      <c r="A52" s="13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8"/>
      <c r="AP52" s="8"/>
      <c r="AQ52" s="9"/>
      <c r="AR52" s="9"/>
      <c r="AS52" s="9"/>
      <c r="AT52" s="9"/>
      <c r="AU52" s="9"/>
      <c r="AV52" s="9"/>
      <c r="AW52" s="9"/>
      <c r="AX52" s="9"/>
    </row>
    <row r="53" spans="1:50">
      <c r="A53" s="13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8"/>
      <c r="AP53" s="8"/>
      <c r="AQ53" s="9"/>
      <c r="AR53" s="9"/>
      <c r="AS53" s="9"/>
      <c r="AT53" s="9"/>
      <c r="AU53" s="9"/>
      <c r="AV53" s="9"/>
      <c r="AW53" s="9"/>
      <c r="AX53" s="9"/>
    </row>
    <row r="54" spans="1:50">
      <c r="A54" s="13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8"/>
      <c r="AP54" s="8"/>
      <c r="AQ54" s="9"/>
      <c r="AR54" s="9"/>
      <c r="AS54" s="9"/>
      <c r="AT54" s="9"/>
      <c r="AU54" s="9"/>
      <c r="AV54" s="9"/>
      <c r="AW54" s="9"/>
      <c r="AX54" s="9"/>
    </row>
    <row r="55" spans="1:50">
      <c r="A55" s="13"/>
      <c r="B55" s="13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8"/>
      <c r="AP55" s="8"/>
      <c r="AQ55" s="9"/>
      <c r="AR55" s="9"/>
      <c r="AS55" s="9"/>
      <c r="AT55" s="9"/>
      <c r="AU55" s="9"/>
      <c r="AV55" s="9"/>
      <c r="AW55" s="9"/>
      <c r="AX55" s="9"/>
    </row>
    <row r="56" spans="1:50">
      <c r="A56" s="13"/>
      <c r="B56" s="13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8"/>
      <c r="AP56" s="8"/>
      <c r="AQ56" s="9"/>
      <c r="AR56" s="9"/>
      <c r="AS56" s="9"/>
      <c r="AT56" s="9"/>
      <c r="AU56" s="9"/>
      <c r="AV56" s="9"/>
      <c r="AW56" s="9"/>
      <c r="AX56" s="9"/>
    </row>
    <row r="57" spans="1:50">
      <c r="A57" s="13"/>
      <c r="B57" s="13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8"/>
      <c r="AP57" s="8"/>
      <c r="AQ57" s="9"/>
      <c r="AR57" s="9"/>
      <c r="AS57" s="9"/>
      <c r="AT57" s="9"/>
      <c r="AU57" s="9"/>
      <c r="AV57" s="9"/>
      <c r="AW57" s="9"/>
      <c r="AX57" s="9"/>
    </row>
    <row r="58" spans="1:50">
      <c r="A58" s="13"/>
      <c r="B58" s="13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8"/>
      <c r="AP58" s="8"/>
      <c r="AQ58" s="9"/>
      <c r="AR58" s="9"/>
      <c r="AS58" s="9"/>
      <c r="AT58" s="9"/>
      <c r="AU58" s="9"/>
      <c r="AV58" s="9"/>
      <c r="AW58" s="9"/>
      <c r="AX58" s="9"/>
    </row>
    <row r="59" spans="1:50" ht="16.5" customHeight="1">
      <c r="A59" s="13"/>
      <c r="B59" s="13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2"/>
      <c r="AO59" s="9"/>
      <c r="AP59" s="9"/>
      <c r="AQ59" s="9"/>
      <c r="AR59" s="9"/>
      <c r="AS59" s="9"/>
      <c r="AT59" s="9"/>
      <c r="AU59" s="9"/>
      <c r="AV59" s="9"/>
      <c r="AW59" s="9"/>
      <c r="AX59" s="9"/>
    </row>
    <row r="60" spans="1:50">
      <c r="A60" s="13"/>
      <c r="B60" s="13"/>
      <c r="C60" s="12"/>
      <c r="D60" s="12"/>
      <c r="E60" s="12"/>
      <c r="F60" s="12"/>
      <c r="G60" s="12"/>
      <c r="H60" s="12"/>
      <c r="I60" s="21"/>
      <c r="J60" s="21"/>
      <c r="K60" s="13"/>
      <c r="L60" s="13"/>
      <c r="M60" s="12"/>
      <c r="N60" s="12"/>
      <c r="O60" s="12"/>
      <c r="P60" s="12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2"/>
      <c r="AO60" s="9"/>
      <c r="AP60" s="9"/>
      <c r="AQ60" s="9"/>
      <c r="AR60" s="9"/>
      <c r="AS60" s="9"/>
      <c r="AT60" s="9"/>
      <c r="AU60" s="9"/>
      <c r="AV60" s="9"/>
      <c r="AW60" s="9"/>
      <c r="AX60" s="9"/>
    </row>
    <row r="61" spans="1:50">
      <c r="A61" s="13"/>
      <c r="B61" s="13"/>
      <c r="C61" s="21"/>
      <c r="D61" s="22"/>
      <c r="E61" s="21"/>
      <c r="F61" s="21"/>
      <c r="G61" s="22"/>
      <c r="H61" s="21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2"/>
      <c r="AO61" s="9"/>
      <c r="AP61" s="9"/>
      <c r="AQ61" s="9"/>
      <c r="AR61" s="9"/>
      <c r="AS61" s="9"/>
      <c r="AT61" s="9"/>
      <c r="AU61" s="9"/>
      <c r="AV61" s="9"/>
      <c r="AW61" s="9"/>
      <c r="AX61" s="9"/>
    </row>
    <row r="62" spans="1:50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2"/>
      <c r="AO62" s="9"/>
      <c r="AP62" s="9"/>
      <c r="AQ62" s="9"/>
      <c r="AR62" s="9"/>
      <c r="AS62" s="9"/>
      <c r="AT62" s="9"/>
      <c r="AU62" s="9"/>
      <c r="AV62" s="9"/>
      <c r="AW62" s="9"/>
      <c r="AX62" s="9"/>
    </row>
    <row r="63" spans="1:50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2"/>
      <c r="AO63" s="9"/>
      <c r="AP63" s="9"/>
      <c r="AQ63" s="9"/>
      <c r="AR63" s="9"/>
      <c r="AS63" s="9"/>
      <c r="AT63" s="9"/>
      <c r="AU63" s="9"/>
      <c r="AV63" s="9"/>
      <c r="AW63" s="9"/>
      <c r="AX63" s="9"/>
    </row>
    <row r="64" spans="1:50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2"/>
      <c r="AO64" s="9"/>
      <c r="AP64" s="9"/>
      <c r="AQ64" s="9"/>
      <c r="AR64" s="9"/>
      <c r="AS64" s="9"/>
      <c r="AT64" s="9"/>
      <c r="AU64" s="9"/>
      <c r="AV64" s="9"/>
      <c r="AW64" s="9"/>
      <c r="AX64" s="9"/>
    </row>
    <row r="65" spans="1:50">
      <c r="A65" s="13"/>
      <c r="B65" s="13"/>
      <c r="C65" s="13"/>
      <c r="D65" s="13"/>
      <c r="E65" s="13"/>
      <c r="F65" s="13"/>
      <c r="G65" s="13"/>
      <c r="H65" s="13"/>
      <c r="I65" s="12"/>
      <c r="J65" s="12"/>
      <c r="K65" s="12"/>
      <c r="L65" s="12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2"/>
      <c r="AO65" s="9"/>
      <c r="AP65" s="9"/>
      <c r="AQ65" s="9"/>
      <c r="AR65" s="9"/>
      <c r="AS65" s="9"/>
      <c r="AT65" s="9"/>
      <c r="AU65" s="9"/>
      <c r="AV65" s="9"/>
      <c r="AW65" s="9"/>
      <c r="AX65" s="9"/>
    </row>
    <row r="66" spans="1:50">
      <c r="A66" s="13"/>
      <c r="B66" s="13"/>
      <c r="C66" s="13"/>
      <c r="D66" s="13"/>
      <c r="E66" s="13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2"/>
      <c r="AO66" s="9"/>
      <c r="AP66" s="9"/>
      <c r="AQ66" s="9"/>
      <c r="AR66" s="9"/>
      <c r="AS66" s="9"/>
      <c r="AT66" s="9"/>
      <c r="AU66" s="9"/>
      <c r="AV66" s="9"/>
      <c r="AW66" s="9"/>
      <c r="AX66" s="9"/>
    </row>
    <row r="67" spans="1:50">
      <c r="A67" s="13"/>
      <c r="B67" s="13"/>
      <c r="C67" s="13"/>
      <c r="D67" s="13"/>
      <c r="E67" s="13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8"/>
      <c r="AP67" s="8"/>
      <c r="AQ67" s="9"/>
      <c r="AR67" s="9"/>
      <c r="AS67" s="9"/>
      <c r="AT67" s="9"/>
      <c r="AU67" s="9"/>
      <c r="AV67" s="9"/>
      <c r="AW67" s="9"/>
      <c r="AX67" s="9"/>
    </row>
    <row r="68" spans="1:50">
      <c r="A68" s="13"/>
      <c r="B68" s="13"/>
      <c r="C68" s="13"/>
      <c r="D68" s="13"/>
      <c r="E68" s="13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8"/>
      <c r="AP68" s="8"/>
      <c r="AQ68" s="9"/>
      <c r="AR68" s="9"/>
      <c r="AS68" s="9"/>
      <c r="AT68" s="9"/>
      <c r="AU68" s="9"/>
      <c r="AV68" s="9"/>
      <c r="AW68" s="9"/>
      <c r="AX68" s="9"/>
    </row>
    <row r="69" spans="1:50">
      <c r="A69" s="13"/>
      <c r="B69" s="13"/>
      <c r="C69" s="13"/>
      <c r="D69" s="13"/>
      <c r="E69" s="13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8"/>
      <c r="AP69" s="8"/>
      <c r="AQ69" s="9"/>
      <c r="AR69" s="9"/>
      <c r="AS69" s="9"/>
      <c r="AT69" s="9"/>
      <c r="AU69" s="9"/>
      <c r="AV69" s="9"/>
      <c r="AW69" s="9"/>
      <c r="AX69" s="9"/>
    </row>
    <row r="70" spans="1:50" ht="15.75" customHeight="1">
      <c r="A70" s="13"/>
      <c r="B70" s="13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8"/>
      <c r="AP70" s="8"/>
      <c r="AQ70" s="9"/>
      <c r="AR70" s="9"/>
      <c r="AS70" s="9"/>
      <c r="AT70" s="9"/>
      <c r="AU70" s="9"/>
      <c r="AV70" s="9"/>
      <c r="AW70" s="9"/>
      <c r="AX70" s="9"/>
    </row>
    <row r="71" spans="1:50">
      <c r="A71" s="13"/>
      <c r="B71" s="13"/>
      <c r="C71" s="13"/>
      <c r="D71" s="13"/>
      <c r="E71" s="13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8"/>
      <c r="AP71" s="8"/>
      <c r="AQ71" s="9"/>
      <c r="AR71" s="9"/>
      <c r="AS71" s="9"/>
      <c r="AT71" s="9"/>
      <c r="AU71" s="9"/>
      <c r="AV71" s="9"/>
      <c r="AW71" s="9"/>
      <c r="AX71" s="9"/>
    </row>
    <row r="72" spans="1:50">
      <c r="A72" s="13"/>
      <c r="B72" s="13"/>
      <c r="C72" s="13"/>
      <c r="D72" s="13"/>
      <c r="E72" s="13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8"/>
      <c r="AP72" s="8"/>
      <c r="AQ72" s="9"/>
      <c r="AR72" s="9"/>
      <c r="AS72" s="9"/>
      <c r="AT72" s="9"/>
      <c r="AU72" s="9"/>
      <c r="AV72" s="9"/>
      <c r="AW72" s="9"/>
      <c r="AX72" s="9"/>
    </row>
    <row r="73" spans="1:50">
      <c r="A73" s="13"/>
      <c r="B73" s="13"/>
      <c r="C73" s="13"/>
      <c r="D73" s="13"/>
      <c r="E73" s="13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8"/>
      <c r="AP73" s="8"/>
      <c r="AQ73" s="9"/>
      <c r="AR73" s="9"/>
      <c r="AS73" s="9"/>
      <c r="AT73" s="9"/>
      <c r="AU73" s="9"/>
      <c r="AV73" s="9"/>
      <c r="AW73" s="9"/>
      <c r="AX73" s="9"/>
    </row>
    <row r="74" spans="1:50">
      <c r="A74" s="13"/>
      <c r="B74" s="13"/>
      <c r="C74" s="13"/>
      <c r="D74" s="13"/>
      <c r="E74" s="13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8"/>
      <c r="AP74" s="8"/>
      <c r="AQ74" s="9"/>
      <c r="AR74" s="9"/>
      <c r="AS74" s="9"/>
      <c r="AT74" s="9"/>
      <c r="AU74" s="9"/>
      <c r="AV74" s="9"/>
      <c r="AW74" s="9"/>
      <c r="AX74" s="9"/>
    </row>
    <row r="75" spans="1:50">
      <c r="A75" s="13"/>
      <c r="B75" s="13"/>
      <c r="C75" s="13"/>
      <c r="D75" s="13"/>
      <c r="E75" s="13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8"/>
      <c r="AP75" s="8"/>
      <c r="AQ75" s="9"/>
      <c r="AR75" s="9"/>
      <c r="AS75" s="9"/>
      <c r="AT75" s="9"/>
      <c r="AU75" s="9"/>
      <c r="AV75" s="9"/>
      <c r="AW75" s="9"/>
      <c r="AX75" s="9"/>
    </row>
    <row r="76" spans="1:50">
      <c r="A76" s="13"/>
      <c r="B76" s="13"/>
      <c r="C76" s="13"/>
      <c r="D76" s="13"/>
      <c r="E76" s="13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8"/>
      <c r="AP76" s="8"/>
      <c r="AQ76" s="9"/>
      <c r="AR76" s="9"/>
      <c r="AS76" s="9"/>
      <c r="AT76" s="9"/>
      <c r="AU76" s="9"/>
      <c r="AV76" s="9"/>
      <c r="AW76" s="9"/>
      <c r="AX76" s="9"/>
    </row>
    <row r="77" spans="1:50">
      <c r="A77" s="13"/>
      <c r="B77" s="13"/>
      <c r="C77" s="13"/>
      <c r="D77" s="13"/>
      <c r="E77" s="13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8"/>
      <c r="AP77" s="8"/>
      <c r="AQ77" s="9"/>
      <c r="AR77" s="9"/>
      <c r="AS77" s="9"/>
      <c r="AT77" s="9"/>
      <c r="AU77" s="9"/>
      <c r="AV77" s="9"/>
      <c r="AW77" s="9"/>
      <c r="AX77" s="9"/>
    </row>
    <row r="78" spans="1:50">
      <c r="A78" s="13"/>
      <c r="B78" s="13"/>
      <c r="C78" s="13"/>
      <c r="D78" s="13"/>
      <c r="E78" s="13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8"/>
      <c r="AP78" s="8"/>
      <c r="AQ78" s="9"/>
      <c r="AR78" s="9"/>
      <c r="AS78" s="9"/>
      <c r="AT78" s="9"/>
      <c r="AU78" s="9"/>
      <c r="AV78" s="9"/>
      <c r="AW78" s="9"/>
      <c r="AX78" s="9"/>
    </row>
    <row r="79" spans="1:50">
      <c r="A79" s="13"/>
      <c r="B79" s="13"/>
      <c r="C79" s="13"/>
      <c r="D79" s="13"/>
      <c r="E79" s="13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8"/>
      <c r="AP79" s="8"/>
      <c r="AQ79" s="9"/>
      <c r="AR79" s="9"/>
      <c r="AS79" s="9"/>
      <c r="AT79" s="9"/>
      <c r="AU79" s="9"/>
      <c r="AV79" s="9"/>
      <c r="AW79" s="9"/>
      <c r="AX79" s="9"/>
    </row>
    <row r="80" spans="1:50">
      <c r="A80" s="13"/>
      <c r="B80" s="13"/>
      <c r="C80" s="13"/>
      <c r="D80" s="13"/>
      <c r="E80" s="13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8"/>
      <c r="AP80" s="8"/>
      <c r="AQ80" s="9"/>
      <c r="AR80" s="9"/>
      <c r="AS80" s="9"/>
      <c r="AT80" s="9"/>
      <c r="AU80" s="9"/>
      <c r="AV80" s="9"/>
      <c r="AW80" s="9"/>
      <c r="AX80" s="9"/>
    </row>
    <row r="81" spans="1:50">
      <c r="A81" s="13"/>
      <c r="B81" s="13"/>
      <c r="C81" s="13"/>
      <c r="D81" s="13"/>
      <c r="E81" s="13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8"/>
      <c r="AP81" s="8"/>
      <c r="AQ81" s="9"/>
      <c r="AR81" s="9"/>
      <c r="AS81" s="9"/>
      <c r="AT81" s="9"/>
      <c r="AU81" s="9"/>
      <c r="AV81" s="9"/>
      <c r="AW81" s="9"/>
      <c r="AX81" s="9"/>
    </row>
    <row r="82" spans="1:50">
      <c r="A82" s="13"/>
      <c r="B82" s="13"/>
      <c r="C82" s="13"/>
      <c r="D82" s="13"/>
      <c r="E82" s="13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8"/>
      <c r="AP82" s="8"/>
      <c r="AQ82" s="9"/>
      <c r="AR82" s="9"/>
      <c r="AS82" s="9"/>
      <c r="AT82" s="9"/>
      <c r="AU82" s="9"/>
      <c r="AV82" s="9"/>
      <c r="AW82" s="9"/>
      <c r="AX82" s="9"/>
    </row>
    <row r="83" spans="1:50">
      <c r="A83" s="13"/>
      <c r="B83" s="13"/>
      <c r="C83" s="13"/>
      <c r="D83" s="13"/>
      <c r="E83" s="13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8"/>
      <c r="AP83" s="8"/>
      <c r="AQ83" s="9"/>
      <c r="AR83" s="9"/>
      <c r="AS83" s="9"/>
      <c r="AT83" s="9"/>
      <c r="AU83" s="9"/>
      <c r="AV83" s="9"/>
      <c r="AW83" s="9"/>
      <c r="AX83" s="9"/>
    </row>
    <row r="84" spans="1:50">
      <c r="A84" s="13"/>
      <c r="B84" s="13"/>
      <c r="C84" s="13"/>
      <c r="D84" s="13"/>
      <c r="E84" s="13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8"/>
      <c r="AP84" s="8"/>
      <c r="AQ84" s="9"/>
      <c r="AR84" s="9"/>
      <c r="AS84" s="9"/>
      <c r="AT84" s="9"/>
      <c r="AU84" s="9"/>
      <c r="AV84" s="9"/>
      <c r="AW84" s="9"/>
      <c r="AX84" s="9"/>
    </row>
    <row r="85" spans="1:50">
      <c r="A85" s="13"/>
      <c r="B85" s="13"/>
      <c r="C85" s="13"/>
      <c r="D85" s="13"/>
      <c r="E85" s="13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8"/>
      <c r="AP85" s="8"/>
      <c r="AQ85" s="9"/>
      <c r="AR85" s="9"/>
      <c r="AS85" s="9"/>
      <c r="AT85" s="9"/>
      <c r="AU85" s="9"/>
      <c r="AV85" s="9"/>
      <c r="AW85" s="9"/>
      <c r="AX85" s="9"/>
    </row>
    <row r="86" spans="1:50">
      <c r="A86" s="13"/>
      <c r="B86" s="13"/>
      <c r="C86" s="13"/>
      <c r="D86" s="13"/>
      <c r="E86" s="13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8"/>
      <c r="AP86" s="8"/>
      <c r="AQ86" s="9"/>
      <c r="AR86" s="9"/>
      <c r="AS86" s="9"/>
      <c r="AT86" s="9"/>
      <c r="AU86" s="9"/>
      <c r="AV86" s="9"/>
      <c r="AW86" s="9"/>
      <c r="AX86" s="9"/>
    </row>
    <row r="87" spans="1:50">
      <c r="A87" s="13"/>
      <c r="B87" s="13"/>
      <c r="C87" s="13"/>
      <c r="D87" s="13"/>
      <c r="E87" s="13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8"/>
      <c r="AP87" s="8"/>
      <c r="AQ87" s="9"/>
      <c r="AR87" s="9"/>
      <c r="AS87" s="9"/>
      <c r="AT87" s="9"/>
      <c r="AU87" s="9"/>
      <c r="AV87" s="9"/>
      <c r="AW87" s="9"/>
      <c r="AX87" s="9"/>
    </row>
    <row r="88" spans="1:50">
      <c r="A88" s="13"/>
      <c r="B88" s="13"/>
      <c r="C88" s="13"/>
      <c r="D88" s="13"/>
      <c r="E88" s="13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8"/>
      <c r="AP88" s="8"/>
      <c r="AQ88" s="9"/>
      <c r="AR88" s="9"/>
      <c r="AS88" s="9"/>
      <c r="AT88" s="9"/>
      <c r="AU88" s="9"/>
      <c r="AV88" s="9"/>
      <c r="AW88" s="9"/>
      <c r="AX88" s="9"/>
    </row>
    <row r="89" spans="1:50">
      <c r="A89" s="13"/>
      <c r="B89" s="13"/>
      <c r="C89" s="13"/>
      <c r="D89" s="13"/>
      <c r="E89" s="13"/>
      <c r="F89" s="12"/>
      <c r="G89" s="12"/>
      <c r="H89" s="12"/>
      <c r="I89" s="13"/>
      <c r="J89" s="13"/>
      <c r="K89" s="13"/>
      <c r="L89" s="13"/>
      <c r="M89" s="12"/>
      <c r="N89" s="12"/>
      <c r="O89" s="12"/>
      <c r="P89" s="12"/>
      <c r="Q89" s="12"/>
      <c r="R89" s="12"/>
      <c r="S89" s="12"/>
      <c r="T89" s="1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8"/>
      <c r="AP89" s="8"/>
      <c r="AQ89" s="9"/>
      <c r="AR89" s="9"/>
      <c r="AS89" s="9"/>
      <c r="AT89" s="9"/>
      <c r="AU89" s="9"/>
      <c r="AV89" s="9"/>
      <c r="AW89" s="9"/>
      <c r="AX89" s="9"/>
    </row>
    <row r="90" spans="1:50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2"/>
      <c r="Q90" s="12"/>
      <c r="R90" s="12"/>
      <c r="S90" s="12"/>
      <c r="T90" s="1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8"/>
      <c r="AP90" s="8"/>
      <c r="AQ90" s="9"/>
      <c r="AR90" s="9"/>
      <c r="AS90" s="9"/>
      <c r="AT90" s="9"/>
      <c r="AU90" s="9"/>
      <c r="AV90" s="9"/>
      <c r="AW90" s="9"/>
      <c r="AX90" s="9"/>
    </row>
    <row r="91" spans="1:50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2"/>
      <c r="Q91" s="12"/>
      <c r="R91" s="12"/>
      <c r="S91" s="12"/>
      <c r="T91" s="1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8"/>
      <c r="AP91" s="8"/>
      <c r="AQ91" s="9"/>
      <c r="AR91" s="9"/>
      <c r="AS91" s="9"/>
      <c r="AT91" s="9"/>
      <c r="AU91" s="9"/>
      <c r="AV91" s="9"/>
      <c r="AW91" s="9"/>
      <c r="AX91" s="9"/>
    </row>
    <row r="92" spans="1:50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2"/>
      <c r="Q92" s="12"/>
      <c r="R92" s="12"/>
      <c r="S92" s="12"/>
      <c r="T92" s="1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8"/>
      <c r="AP92" s="8"/>
      <c r="AQ92" s="9"/>
      <c r="AR92" s="9"/>
      <c r="AS92" s="9"/>
      <c r="AT92" s="9"/>
      <c r="AU92" s="9"/>
      <c r="AV92" s="9"/>
      <c r="AW92" s="9"/>
      <c r="AX92" s="9"/>
    </row>
    <row r="93" spans="1:50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2"/>
      <c r="Q93" s="12"/>
      <c r="R93" s="12"/>
      <c r="S93" s="12"/>
      <c r="T93" s="1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8"/>
      <c r="AP93" s="8"/>
      <c r="AQ93" s="9"/>
      <c r="AR93" s="9"/>
      <c r="AS93" s="9"/>
      <c r="AT93" s="9"/>
      <c r="AU93" s="9"/>
      <c r="AV93" s="9"/>
      <c r="AW93" s="9"/>
      <c r="AX93" s="9"/>
    </row>
    <row r="94" spans="1:50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2"/>
      <c r="Q94" s="12"/>
      <c r="R94" s="12"/>
      <c r="S94" s="12"/>
      <c r="T94" s="1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8"/>
      <c r="AP94" s="8"/>
      <c r="AQ94" s="9"/>
      <c r="AR94" s="9"/>
      <c r="AS94" s="9"/>
      <c r="AT94" s="9"/>
      <c r="AU94" s="9"/>
      <c r="AV94" s="9"/>
      <c r="AW94" s="9"/>
      <c r="AX94" s="9"/>
    </row>
    <row r="95" spans="1:50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2"/>
      <c r="Q95" s="12"/>
      <c r="R95" s="12"/>
      <c r="S95" s="12"/>
      <c r="T95" s="1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8"/>
      <c r="AP95" s="8"/>
      <c r="AQ95" s="9"/>
      <c r="AR95" s="9"/>
      <c r="AS95" s="9"/>
      <c r="AT95" s="9"/>
      <c r="AU95" s="9"/>
      <c r="AV95" s="9"/>
      <c r="AW95" s="9"/>
      <c r="AX95" s="9"/>
    </row>
    <row r="96" spans="1:50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2"/>
      <c r="Q96" s="12"/>
      <c r="R96" s="12"/>
      <c r="S96" s="12"/>
      <c r="T96" s="1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8"/>
      <c r="AP96" s="8"/>
      <c r="AQ96" s="9"/>
      <c r="AR96" s="9"/>
      <c r="AS96" s="9"/>
      <c r="AT96" s="9"/>
      <c r="AU96" s="9"/>
      <c r="AV96" s="9"/>
      <c r="AW96" s="9"/>
      <c r="AX96" s="9"/>
    </row>
    <row r="97" spans="1:50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2"/>
      <c r="Q97" s="12"/>
      <c r="R97" s="12"/>
      <c r="S97" s="12"/>
      <c r="T97" s="1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8"/>
      <c r="AP97" s="8"/>
      <c r="AQ97" s="9"/>
      <c r="AR97" s="9"/>
      <c r="AS97" s="9"/>
      <c r="AT97" s="9"/>
      <c r="AU97" s="9"/>
      <c r="AV97" s="9"/>
      <c r="AW97" s="9"/>
      <c r="AX97" s="9"/>
    </row>
    <row r="98" spans="1:50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2"/>
      <c r="Q98" s="12"/>
      <c r="R98" s="12"/>
      <c r="S98" s="12"/>
      <c r="T98" s="1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8"/>
      <c r="AP98" s="8"/>
      <c r="AQ98" s="9"/>
      <c r="AR98" s="9"/>
      <c r="AS98" s="9"/>
      <c r="AT98" s="9"/>
      <c r="AU98" s="9"/>
      <c r="AV98" s="9"/>
      <c r="AW98" s="9"/>
      <c r="AX98" s="9"/>
    </row>
    <row r="99" spans="1:50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2"/>
      <c r="Q99" s="12"/>
      <c r="R99" s="12"/>
      <c r="S99" s="12"/>
      <c r="T99" s="1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8"/>
      <c r="AP99" s="8"/>
      <c r="AQ99" s="9"/>
      <c r="AR99" s="9"/>
      <c r="AS99" s="9"/>
      <c r="AT99" s="9"/>
      <c r="AU99" s="9"/>
      <c r="AV99" s="9"/>
      <c r="AW99" s="9"/>
      <c r="AX99" s="9"/>
    </row>
    <row r="100" spans="1:50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8"/>
      <c r="AP100" s="8"/>
      <c r="AQ100" s="9"/>
      <c r="AR100" s="9"/>
      <c r="AS100" s="9"/>
      <c r="AT100" s="9"/>
      <c r="AU100" s="9"/>
      <c r="AV100" s="9"/>
      <c r="AW100" s="9"/>
      <c r="AX100" s="9"/>
    </row>
    <row r="101" spans="1:50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8"/>
      <c r="AP101" s="8"/>
      <c r="AQ101" s="9"/>
      <c r="AR101" s="9"/>
      <c r="AS101" s="9"/>
      <c r="AT101" s="9"/>
      <c r="AU101" s="9"/>
      <c r="AV101" s="9"/>
      <c r="AW101" s="9"/>
      <c r="AX101" s="9"/>
    </row>
    <row r="102" spans="1:50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8"/>
      <c r="AP102" s="8"/>
      <c r="AQ102" s="9"/>
      <c r="AR102" s="9"/>
      <c r="AS102" s="9"/>
      <c r="AT102" s="9"/>
      <c r="AU102" s="9"/>
      <c r="AV102" s="9"/>
      <c r="AW102" s="9"/>
      <c r="AX102" s="9"/>
    </row>
    <row r="103" spans="1:50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8"/>
      <c r="AP103" s="8"/>
      <c r="AQ103" s="9"/>
      <c r="AR103" s="9"/>
      <c r="AS103" s="9"/>
      <c r="AT103" s="9"/>
      <c r="AU103" s="9"/>
      <c r="AV103" s="9"/>
      <c r="AW103" s="9"/>
      <c r="AX103" s="9"/>
    </row>
    <row r="104" spans="1:50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8"/>
      <c r="AP104" s="8"/>
      <c r="AQ104" s="9"/>
      <c r="AR104" s="9"/>
      <c r="AS104" s="9"/>
      <c r="AT104" s="9"/>
      <c r="AU104" s="9"/>
      <c r="AV104" s="9"/>
      <c r="AW104" s="9"/>
      <c r="AX104" s="9"/>
    </row>
    <row r="105" spans="1:50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8"/>
      <c r="AP105" s="8"/>
      <c r="AQ105" s="9"/>
      <c r="AR105" s="9"/>
      <c r="AS105" s="9"/>
      <c r="AT105" s="9"/>
      <c r="AU105" s="9"/>
      <c r="AV105" s="9"/>
      <c r="AW105" s="9"/>
      <c r="AX105" s="9"/>
    </row>
    <row r="106" spans="1:50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8"/>
      <c r="AP106" s="8"/>
      <c r="AQ106" s="9"/>
      <c r="AR106" s="9"/>
      <c r="AS106" s="9"/>
      <c r="AT106" s="9"/>
      <c r="AU106" s="9"/>
      <c r="AV106" s="9"/>
      <c r="AW106" s="9"/>
      <c r="AX106" s="9"/>
    </row>
    <row r="107" spans="1:50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8"/>
      <c r="AP107" s="8"/>
      <c r="AQ107" s="9"/>
      <c r="AR107" s="9"/>
      <c r="AS107" s="9"/>
      <c r="AT107" s="9"/>
      <c r="AU107" s="9"/>
      <c r="AV107" s="9"/>
      <c r="AW107" s="9"/>
      <c r="AX107" s="9"/>
    </row>
    <row r="108" spans="1:50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8"/>
      <c r="AP108" s="8"/>
      <c r="AQ108" s="9"/>
      <c r="AR108" s="9"/>
      <c r="AS108" s="9"/>
      <c r="AT108" s="9"/>
      <c r="AU108" s="9"/>
      <c r="AV108" s="9"/>
      <c r="AW108" s="9"/>
      <c r="AX108" s="9"/>
    </row>
    <row r="109" spans="1:50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8"/>
      <c r="AP109" s="8"/>
      <c r="AQ109" s="9"/>
      <c r="AR109" s="9"/>
      <c r="AS109" s="9"/>
      <c r="AT109" s="9"/>
      <c r="AU109" s="9"/>
      <c r="AV109" s="9"/>
      <c r="AW109" s="9"/>
      <c r="AX109" s="9"/>
    </row>
    <row r="110" spans="1:50">
      <c r="A110" s="13"/>
      <c r="B110" s="13"/>
      <c r="C110" s="13"/>
      <c r="D110" s="13"/>
      <c r="E110" s="13"/>
      <c r="F110" s="13"/>
      <c r="G110" s="13"/>
      <c r="H110" s="13"/>
      <c r="I110" s="12"/>
      <c r="J110" s="12"/>
      <c r="K110" s="12"/>
      <c r="L110" s="12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8"/>
      <c r="AP110" s="8"/>
      <c r="AQ110" s="9"/>
      <c r="AR110" s="9"/>
      <c r="AS110" s="9"/>
      <c r="AT110" s="9"/>
      <c r="AU110" s="9"/>
      <c r="AV110" s="9"/>
      <c r="AW110" s="9"/>
      <c r="AX110" s="9"/>
    </row>
    <row r="111" spans="1:50">
      <c r="A111" s="13"/>
      <c r="B111" s="13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8"/>
      <c r="AP111" s="8"/>
      <c r="AQ111" s="9"/>
      <c r="AR111" s="9"/>
      <c r="AS111" s="9"/>
      <c r="AT111" s="9"/>
      <c r="AU111" s="9"/>
      <c r="AV111" s="9"/>
      <c r="AW111" s="9"/>
      <c r="AX111" s="9"/>
    </row>
    <row r="112" spans="1:50">
      <c r="A112" s="13"/>
      <c r="B112" s="13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8"/>
      <c r="AP112" s="8"/>
      <c r="AQ112" s="9"/>
      <c r="AR112" s="9"/>
      <c r="AS112" s="9"/>
      <c r="AT112" s="9"/>
      <c r="AU112" s="9"/>
      <c r="AV112" s="9"/>
      <c r="AW112" s="9"/>
      <c r="AX112" s="9"/>
    </row>
    <row r="113" spans="1:50">
      <c r="A113" s="13"/>
      <c r="B113" s="13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8"/>
      <c r="AP113" s="8"/>
      <c r="AQ113" s="9"/>
      <c r="AR113" s="9"/>
      <c r="AS113" s="9"/>
      <c r="AT113" s="9"/>
      <c r="AU113" s="9"/>
      <c r="AV113" s="9"/>
      <c r="AW113" s="9"/>
      <c r="AX113" s="9"/>
    </row>
    <row r="114" spans="1:50">
      <c r="A114" s="13"/>
      <c r="B114" s="13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8"/>
      <c r="AP114" s="8"/>
      <c r="AQ114" s="9"/>
      <c r="AR114" s="9"/>
      <c r="AS114" s="9"/>
      <c r="AT114" s="9"/>
      <c r="AU114" s="9"/>
      <c r="AV114" s="9"/>
      <c r="AW114" s="9"/>
      <c r="AX114" s="9"/>
    </row>
    <row r="115" spans="1:50">
      <c r="A115" s="13"/>
      <c r="B115" s="13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8"/>
      <c r="AP115" s="8"/>
      <c r="AQ115" s="9"/>
      <c r="AR115" s="9"/>
      <c r="AS115" s="9"/>
      <c r="AT115" s="9"/>
      <c r="AU115" s="9"/>
      <c r="AV115" s="9"/>
      <c r="AW115" s="9"/>
      <c r="AX115" s="9"/>
    </row>
    <row r="116" spans="1:50">
      <c r="A116" s="13"/>
      <c r="B116" s="13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8"/>
      <c r="AP116" s="8"/>
      <c r="AQ116" s="9"/>
      <c r="AR116" s="9"/>
      <c r="AS116" s="9"/>
      <c r="AT116" s="9"/>
      <c r="AU116" s="9"/>
      <c r="AV116" s="9"/>
      <c r="AW116" s="9"/>
      <c r="AX116" s="9"/>
    </row>
    <row r="117" spans="1:50">
      <c r="A117" s="13"/>
      <c r="B117" s="13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8"/>
      <c r="AP117" s="8"/>
      <c r="AQ117" s="9"/>
      <c r="AR117" s="9"/>
      <c r="AS117" s="9"/>
      <c r="AT117" s="9"/>
      <c r="AU117" s="9"/>
      <c r="AV117" s="9"/>
      <c r="AW117" s="9"/>
      <c r="AX117" s="9"/>
    </row>
    <row r="118" spans="1:50">
      <c r="A118" s="13"/>
      <c r="B118" s="13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8"/>
      <c r="AP118" s="8"/>
      <c r="AQ118" s="9"/>
      <c r="AR118" s="9"/>
      <c r="AS118" s="9"/>
      <c r="AT118" s="9"/>
      <c r="AU118" s="9"/>
      <c r="AV118" s="9"/>
      <c r="AW118" s="9"/>
      <c r="AX118" s="9"/>
    </row>
    <row r="119" spans="1:50">
      <c r="A119" s="13"/>
      <c r="B119" s="13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8"/>
      <c r="AP119" s="8"/>
      <c r="AQ119" s="9"/>
      <c r="AR119" s="9"/>
      <c r="AS119" s="9"/>
      <c r="AT119" s="9"/>
      <c r="AU119" s="9"/>
      <c r="AV119" s="9"/>
      <c r="AW119" s="9"/>
      <c r="AX119" s="9"/>
    </row>
    <row r="120" spans="1:50">
      <c r="A120" s="13"/>
      <c r="B120" s="13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8"/>
      <c r="AP120" s="8"/>
      <c r="AQ120" s="9"/>
      <c r="AR120" s="9"/>
      <c r="AS120" s="9"/>
      <c r="AT120" s="9"/>
      <c r="AU120" s="9"/>
      <c r="AV120" s="9"/>
      <c r="AW120" s="9"/>
      <c r="AX120" s="9"/>
    </row>
    <row r="121" spans="1:50">
      <c r="A121" s="13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8"/>
      <c r="AP121" s="8"/>
      <c r="AQ121" s="9"/>
      <c r="AR121" s="9"/>
      <c r="AS121" s="9"/>
      <c r="AT121" s="9"/>
      <c r="AU121" s="9"/>
      <c r="AV121" s="9"/>
      <c r="AW121" s="9"/>
      <c r="AX121" s="9"/>
    </row>
    <row r="122" spans="1:50">
      <c r="A122" s="13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8"/>
      <c r="AP122" s="8"/>
      <c r="AQ122" s="9"/>
      <c r="AR122" s="9"/>
      <c r="AS122" s="9"/>
      <c r="AT122" s="9"/>
      <c r="AU122" s="9"/>
      <c r="AV122" s="9"/>
      <c r="AW122" s="9"/>
      <c r="AX122" s="9"/>
    </row>
    <row r="123" spans="1:50">
      <c r="A123" s="13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8"/>
      <c r="AP123" s="8"/>
      <c r="AQ123" s="9"/>
      <c r="AR123" s="9"/>
      <c r="AS123" s="9"/>
      <c r="AT123" s="9"/>
      <c r="AU123" s="9"/>
      <c r="AV123" s="9"/>
      <c r="AW123" s="9"/>
      <c r="AX123" s="9"/>
    </row>
    <row r="124" spans="1:50">
      <c r="A124" s="13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8"/>
      <c r="AP124" s="8"/>
      <c r="AQ124" s="9"/>
      <c r="AR124" s="9"/>
      <c r="AS124" s="9"/>
      <c r="AT124" s="9"/>
      <c r="AU124" s="9"/>
      <c r="AV124" s="9"/>
      <c r="AW124" s="9"/>
      <c r="AX124" s="9"/>
    </row>
    <row r="125" spans="1:50">
      <c r="A125" s="13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8"/>
      <c r="AP125" s="8"/>
      <c r="AQ125" s="9"/>
      <c r="AR125" s="9"/>
      <c r="AS125" s="9"/>
      <c r="AT125" s="9"/>
      <c r="AU125" s="9"/>
      <c r="AV125" s="9"/>
      <c r="AW125" s="9"/>
      <c r="AX125" s="9"/>
    </row>
    <row r="126" spans="1:50">
      <c r="A126" s="13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8"/>
      <c r="AP126" s="8"/>
      <c r="AQ126" s="9"/>
      <c r="AR126" s="9"/>
      <c r="AS126" s="9"/>
      <c r="AT126" s="9"/>
      <c r="AU126" s="9"/>
      <c r="AV126" s="9"/>
      <c r="AW126" s="9"/>
      <c r="AX126" s="9"/>
    </row>
    <row r="127" spans="1:50">
      <c r="A127" s="13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8"/>
      <c r="AP127" s="8"/>
      <c r="AQ127" s="9"/>
      <c r="AR127" s="9"/>
      <c r="AS127" s="9"/>
      <c r="AT127" s="9"/>
      <c r="AU127" s="9"/>
      <c r="AV127" s="9"/>
      <c r="AW127" s="9"/>
      <c r="AX127" s="9"/>
    </row>
    <row r="128" spans="1:50">
      <c r="A128" s="13"/>
      <c r="B128" s="12"/>
      <c r="C128" s="12"/>
      <c r="D128" s="12"/>
      <c r="E128" s="12"/>
      <c r="F128" s="12"/>
      <c r="G128" s="12"/>
      <c r="H128" s="12"/>
      <c r="I128" s="13"/>
      <c r="J128" s="13"/>
      <c r="K128" s="13"/>
      <c r="L128" s="13"/>
      <c r="M128" s="12"/>
      <c r="N128" s="12"/>
      <c r="O128" s="12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8"/>
      <c r="AP128" s="8"/>
      <c r="AQ128" s="9"/>
      <c r="AR128" s="9"/>
      <c r="AS128" s="9"/>
      <c r="AT128" s="9"/>
      <c r="AU128" s="9"/>
      <c r="AV128" s="9"/>
      <c r="AW128" s="9"/>
      <c r="AX128" s="9"/>
    </row>
    <row r="129" spans="1:50">
      <c r="A129" s="13"/>
      <c r="B129" s="12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8"/>
      <c r="AP129" s="8"/>
      <c r="AQ129" s="9"/>
      <c r="AR129" s="9"/>
      <c r="AS129" s="9"/>
      <c r="AT129" s="9"/>
      <c r="AU129" s="9"/>
      <c r="AV129" s="9"/>
      <c r="AW129" s="9"/>
      <c r="AX129" s="9"/>
    </row>
    <row r="130" spans="1:50">
      <c r="A130" s="13"/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8"/>
      <c r="AP130" s="8"/>
      <c r="AQ130" s="9"/>
      <c r="AR130" s="9"/>
      <c r="AS130" s="9"/>
      <c r="AT130" s="9"/>
      <c r="AU130" s="9"/>
      <c r="AV130" s="9"/>
      <c r="AW130" s="9"/>
      <c r="AX130" s="9"/>
    </row>
    <row r="131" spans="1:50">
      <c r="A131" s="13"/>
      <c r="B131" s="12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8"/>
      <c r="AP131" s="8"/>
      <c r="AQ131" s="9"/>
      <c r="AR131" s="9"/>
      <c r="AS131" s="9"/>
      <c r="AT131" s="9"/>
      <c r="AU131" s="9"/>
      <c r="AV131" s="9"/>
      <c r="AW131" s="9"/>
      <c r="AX131" s="9"/>
    </row>
    <row r="132" spans="1:50">
      <c r="A132" s="13"/>
      <c r="B132" s="12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8"/>
      <c r="AP132" s="8"/>
      <c r="AQ132" s="9"/>
      <c r="AR132" s="9"/>
      <c r="AS132" s="9"/>
      <c r="AT132" s="9"/>
      <c r="AU132" s="9"/>
      <c r="AV132" s="9"/>
      <c r="AW132" s="9"/>
      <c r="AX132" s="9"/>
    </row>
    <row r="133" spans="1:50">
      <c r="A133" s="13"/>
      <c r="B133" s="12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8"/>
      <c r="AP133" s="8"/>
      <c r="AQ133" s="9"/>
      <c r="AR133" s="9"/>
      <c r="AS133" s="9"/>
      <c r="AT133" s="9"/>
      <c r="AU133" s="9"/>
      <c r="AV133" s="9"/>
      <c r="AW133" s="9"/>
      <c r="AX133" s="9"/>
    </row>
    <row r="134" spans="1:50">
      <c r="A134" s="13"/>
      <c r="B134" s="12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8"/>
      <c r="AP134" s="8"/>
      <c r="AQ134" s="9"/>
      <c r="AR134" s="9"/>
      <c r="AS134" s="9"/>
      <c r="AT134" s="9"/>
      <c r="AU134" s="9"/>
      <c r="AV134" s="9"/>
      <c r="AW134" s="9"/>
      <c r="AX134" s="9"/>
    </row>
    <row r="135" spans="1:50">
      <c r="A135" s="13"/>
      <c r="B135" s="12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8"/>
      <c r="AP135" s="8"/>
      <c r="AQ135" s="9"/>
      <c r="AR135" s="9"/>
      <c r="AS135" s="9"/>
      <c r="AT135" s="9"/>
      <c r="AU135" s="9"/>
      <c r="AV135" s="9"/>
      <c r="AW135" s="9"/>
      <c r="AX135" s="9"/>
    </row>
    <row r="136" spans="1:50">
      <c r="A136" s="13"/>
      <c r="B136" s="12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8"/>
      <c r="AP136" s="8"/>
      <c r="AQ136" s="9"/>
      <c r="AR136" s="9"/>
      <c r="AS136" s="9"/>
      <c r="AT136" s="9"/>
      <c r="AU136" s="9"/>
      <c r="AV136" s="9"/>
      <c r="AW136" s="9"/>
      <c r="AX136" s="9"/>
    </row>
    <row r="137" spans="1:50">
      <c r="A137" s="13"/>
      <c r="B137" s="12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9"/>
      <c r="AR137" s="9"/>
      <c r="AS137" s="9"/>
      <c r="AT137" s="9"/>
      <c r="AU137" s="9"/>
      <c r="AV137" s="9"/>
      <c r="AW137" s="9"/>
      <c r="AX137" s="9"/>
    </row>
    <row r="138" spans="1:50">
      <c r="A138" s="13"/>
      <c r="B138" s="12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9"/>
      <c r="AR138" s="9"/>
      <c r="AS138" s="9"/>
      <c r="AT138" s="9"/>
      <c r="AU138" s="9"/>
      <c r="AV138" s="9"/>
      <c r="AW138" s="9"/>
      <c r="AX138" s="9"/>
    </row>
    <row r="139" spans="1:50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9"/>
      <c r="AR139" s="9"/>
      <c r="AS139" s="9"/>
      <c r="AT139" s="9"/>
      <c r="AU139" s="9"/>
      <c r="AV139" s="9"/>
      <c r="AW139" s="9"/>
      <c r="AX139" s="9"/>
    </row>
    <row r="140" spans="1:50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9"/>
      <c r="AR140" s="9"/>
      <c r="AS140" s="9"/>
      <c r="AT140" s="9"/>
      <c r="AU140" s="9"/>
      <c r="AV140" s="9"/>
      <c r="AW140" s="9"/>
      <c r="AX140" s="9"/>
    </row>
    <row r="141" spans="1:50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9"/>
      <c r="AR141" s="9"/>
      <c r="AS141" s="9"/>
      <c r="AT141" s="9"/>
      <c r="AU141" s="9"/>
      <c r="AV141" s="9"/>
      <c r="AW141" s="9"/>
      <c r="AX141" s="9"/>
    </row>
    <row r="142" spans="1:50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9"/>
      <c r="AR142" s="9"/>
      <c r="AS142" s="9"/>
      <c r="AT142" s="9"/>
      <c r="AU142" s="9"/>
      <c r="AV142" s="9"/>
      <c r="AW142" s="9"/>
      <c r="AX142" s="9"/>
    </row>
    <row r="143" spans="1:50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9"/>
      <c r="AR143" s="9"/>
      <c r="AS143" s="9"/>
      <c r="AT143" s="9"/>
      <c r="AU143" s="9"/>
      <c r="AV143" s="9"/>
      <c r="AW143" s="9"/>
      <c r="AX143" s="9"/>
    </row>
    <row r="144" spans="1:50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9"/>
      <c r="AR144" s="9"/>
      <c r="AS144" s="9"/>
      <c r="AT144" s="9"/>
      <c r="AU144" s="9"/>
      <c r="AV144" s="9"/>
      <c r="AW144" s="9"/>
      <c r="AX144" s="9"/>
    </row>
    <row r="145" spans="1:50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9"/>
      <c r="AR145" s="9"/>
      <c r="AS145" s="9"/>
      <c r="AT145" s="9"/>
      <c r="AU145" s="9"/>
      <c r="AV145" s="9"/>
      <c r="AW145" s="9"/>
      <c r="AX145" s="9"/>
    </row>
    <row r="146" spans="1:50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9"/>
      <c r="AR146" s="9"/>
      <c r="AS146" s="9"/>
      <c r="AT146" s="9"/>
      <c r="AU146" s="9"/>
      <c r="AV146" s="9"/>
      <c r="AW146" s="9"/>
      <c r="AX146" s="9"/>
    </row>
    <row r="147" spans="1:50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9"/>
      <c r="AR147" s="9"/>
      <c r="AS147" s="9"/>
      <c r="AT147" s="9"/>
      <c r="AU147" s="9"/>
      <c r="AV147" s="9"/>
      <c r="AW147" s="9"/>
      <c r="AX147" s="9"/>
    </row>
    <row r="148" spans="1:50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9"/>
      <c r="AR148" s="9"/>
      <c r="AS148" s="9"/>
      <c r="AT148" s="9"/>
      <c r="AU148" s="9"/>
      <c r="AV148" s="9"/>
      <c r="AW148" s="9"/>
      <c r="AX148" s="9"/>
    </row>
    <row r="149" spans="1:50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9"/>
      <c r="AR149" s="9"/>
      <c r="AS149" s="9"/>
      <c r="AT149" s="9"/>
      <c r="AU149" s="9"/>
      <c r="AV149" s="9"/>
      <c r="AW149" s="9"/>
      <c r="AX149" s="9"/>
    </row>
    <row r="150" spans="1:50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9"/>
      <c r="AR150" s="9"/>
      <c r="AS150" s="9"/>
      <c r="AT150" s="9"/>
      <c r="AU150" s="9"/>
      <c r="AV150" s="9"/>
      <c r="AW150" s="9"/>
      <c r="AX150" s="9"/>
    </row>
    <row r="151" spans="1:50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9"/>
      <c r="AR151" s="9"/>
      <c r="AS151" s="9"/>
      <c r="AT151" s="9"/>
      <c r="AU151" s="9"/>
      <c r="AV151" s="9"/>
      <c r="AW151" s="9"/>
      <c r="AX151" s="9"/>
    </row>
    <row r="152" spans="1:50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9"/>
      <c r="AR152" s="9"/>
      <c r="AS152" s="9"/>
      <c r="AT152" s="9"/>
      <c r="AU152" s="9"/>
      <c r="AV152" s="9"/>
      <c r="AW152" s="9"/>
      <c r="AX152" s="9"/>
    </row>
    <row r="153" spans="1:50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9"/>
      <c r="AR153" s="9"/>
      <c r="AS153" s="9"/>
      <c r="AT153" s="9"/>
      <c r="AU153" s="9"/>
      <c r="AV153" s="9"/>
      <c r="AW153" s="9"/>
      <c r="AX153" s="9"/>
    </row>
    <row r="154" spans="1:50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9"/>
      <c r="AR154" s="9"/>
      <c r="AS154" s="9"/>
      <c r="AT154" s="9"/>
      <c r="AU154" s="9"/>
      <c r="AV154" s="9"/>
      <c r="AW154" s="9"/>
      <c r="AX154" s="9"/>
    </row>
    <row r="155" spans="1:50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9"/>
      <c r="AR155" s="9"/>
      <c r="AS155" s="9"/>
      <c r="AT155" s="9"/>
      <c r="AU155" s="9"/>
      <c r="AV155" s="9"/>
      <c r="AW155" s="9"/>
      <c r="AX155" s="9"/>
    </row>
    <row r="156" spans="1:50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9"/>
      <c r="AR156" s="9"/>
      <c r="AS156" s="9"/>
      <c r="AT156" s="9"/>
      <c r="AU156" s="9"/>
      <c r="AV156" s="9"/>
      <c r="AW156" s="9"/>
      <c r="AX156" s="9"/>
    </row>
    <row r="157" spans="1:50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9"/>
      <c r="AR157" s="9"/>
      <c r="AS157" s="9"/>
      <c r="AT157" s="9"/>
      <c r="AU157" s="9"/>
      <c r="AV157" s="9"/>
      <c r="AW157" s="9"/>
      <c r="AX157" s="9"/>
    </row>
    <row r="158" spans="1:50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9"/>
      <c r="AR158" s="9"/>
      <c r="AS158" s="9"/>
      <c r="AT158" s="9"/>
      <c r="AU158" s="9"/>
      <c r="AV158" s="9"/>
      <c r="AW158" s="9"/>
      <c r="AX158" s="9"/>
    </row>
    <row r="159" spans="1:50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9"/>
      <c r="AR159" s="9"/>
      <c r="AS159" s="9"/>
      <c r="AT159" s="9"/>
      <c r="AU159" s="9"/>
      <c r="AV159" s="9"/>
      <c r="AW159" s="9"/>
      <c r="AX159" s="9"/>
    </row>
    <row r="160" spans="1:50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9"/>
      <c r="AR160" s="9"/>
      <c r="AS160" s="9"/>
      <c r="AT160" s="9"/>
      <c r="AU160" s="9"/>
      <c r="AV160" s="9"/>
      <c r="AW160" s="9"/>
      <c r="AX160" s="9"/>
    </row>
    <row r="161" spans="1:50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9"/>
      <c r="AR161" s="9"/>
      <c r="AS161" s="9"/>
      <c r="AT161" s="9"/>
      <c r="AU161" s="9"/>
      <c r="AV161" s="9"/>
      <c r="AW161" s="9"/>
      <c r="AX161" s="9"/>
    </row>
    <row r="162" spans="1:50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9"/>
      <c r="AR162" s="9"/>
      <c r="AS162" s="9"/>
      <c r="AT162" s="9"/>
      <c r="AU162" s="9"/>
      <c r="AV162" s="9"/>
      <c r="AW162" s="9"/>
      <c r="AX162" s="9"/>
    </row>
    <row r="163" spans="1:50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9"/>
      <c r="AR163" s="9"/>
      <c r="AS163" s="9"/>
      <c r="AT163" s="9"/>
      <c r="AU163" s="9"/>
      <c r="AV163" s="9"/>
      <c r="AW163" s="9"/>
      <c r="AX163" s="9"/>
    </row>
    <row r="164" spans="1:50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8"/>
      <c r="AG164" s="8"/>
      <c r="AH164" s="8"/>
      <c r="AI164" s="8"/>
      <c r="AJ164" s="8"/>
      <c r="AK164" s="8"/>
      <c r="AL164" s="8"/>
      <c r="AM164" s="7"/>
      <c r="AN164" s="7"/>
      <c r="AO164" s="7"/>
      <c r="AP164" s="7"/>
    </row>
    <row r="165" spans="1:50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8"/>
      <c r="AG165" s="8"/>
      <c r="AH165" s="8"/>
      <c r="AI165" s="8"/>
      <c r="AJ165" s="8"/>
      <c r="AK165" s="8"/>
      <c r="AL165" s="8"/>
      <c r="AM165" s="7"/>
      <c r="AN165" s="7"/>
      <c r="AO165" s="7"/>
      <c r="AP165" s="7"/>
    </row>
    <row r="166" spans="1:50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8"/>
      <c r="AG166" s="8"/>
      <c r="AH166" s="8"/>
      <c r="AI166" s="8"/>
      <c r="AJ166" s="8"/>
      <c r="AK166" s="8"/>
      <c r="AL166" s="8"/>
      <c r="AM166" s="7"/>
      <c r="AN166" s="7"/>
      <c r="AO166" s="7"/>
      <c r="AP166" s="7"/>
    </row>
    <row r="167" spans="1:50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8"/>
      <c r="AG167" s="8"/>
      <c r="AH167" s="8"/>
      <c r="AI167" s="8"/>
      <c r="AJ167" s="8"/>
      <c r="AK167" s="8"/>
      <c r="AL167" s="8"/>
      <c r="AM167" s="7"/>
      <c r="AN167" s="7"/>
      <c r="AO167" s="7"/>
      <c r="AP167" s="7"/>
    </row>
    <row r="168" spans="1:50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8"/>
      <c r="AG168" s="8"/>
      <c r="AH168" s="8"/>
      <c r="AI168" s="8"/>
      <c r="AJ168" s="8"/>
      <c r="AK168" s="8"/>
      <c r="AL168" s="8"/>
      <c r="AM168" s="7"/>
      <c r="AN168" s="7"/>
      <c r="AO168" s="7"/>
      <c r="AP168" s="7"/>
    </row>
    <row r="169" spans="1:50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8"/>
      <c r="AG169" s="8"/>
      <c r="AH169" s="8"/>
      <c r="AI169" s="8"/>
      <c r="AJ169" s="8"/>
      <c r="AK169" s="8"/>
      <c r="AL169" s="8"/>
      <c r="AM169" s="7"/>
      <c r="AN169" s="7"/>
      <c r="AO169" s="7"/>
      <c r="AP169" s="7"/>
    </row>
    <row r="170" spans="1:50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8"/>
      <c r="AG170" s="8"/>
      <c r="AH170" s="8"/>
      <c r="AI170" s="8"/>
      <c r="AJ170" s="8"/>
      <c r="AK170" s="8"/>
      <c r="AL170" s="8"/>
      <c r="AM170" s="7"/>
      <c r="AN170" s="7"/>
      <c r="AO170" s="7"/>
      <c r="AP170" s="7"/>
    </row>
    <row r="171" spans="1:50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8"/>
      <c r="AG171" s="8"/>
      <c r="AH171" s="8"/>
      <c r="AI171" s="8"/>
      <c r="AJ171" s="8"/>
      <c r="AK171" s="8"/>
      <c r="AL171" s="8"/>
      <c r="AM171" s="7"/>
      <c r="AN171" s="7"/>
      <c r="AO171" s="7"/>
      <c r="AP171" s="7"/>
    </row>
    <row r="172" spans="1:50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8"/>
      <c r="AG172" s="8"/>
      <c r="AH172" s="8"/>
      <c r="AI172" s="8"/>
      <c r="AJ172" s="8"/>
      <c r="AK172" s="8"/>
      <c r="AL172" s="8"/>
      <c r="AM172" s="7"/>
      <c r="AN172" s="7"/>
      <c r="AO172" s="7"/>
      <c r="AP172" s="7"/>
    </row>
    <row r="173" spans="1:50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8"/>
      <c r="AG173" s="8"/>
      <c r="AH173" s="8"/>
      <c r="AI173" s="8"/>
      <c r="AJ173" s="8"/>
      <c r="AK173" s="8"/>
      <c r="AL173" s="8"/>
      <c r="AM173" s="7"/>
      <c r="AN173" s="7"/>
      <c r="AO173" s="7"/>
      <c r="AP173" s="7"/>
    </row>
    <row r="174" spans="1:50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8"/>
      <c r="AG174" s="8"/>
      <c r="AH174" s="8"/>
      <c r="AI174" s="8"/>
      <c r="AJ174" s="8"/>
      <c r="AK174" s="8"/>
      <c r="AL174" s="8"/>
      <c r="AM174" s="7"/>
      <c r="AN174" s="7"/>
      <c r="AO174" s="7"/>
      <c r="AP174" s="7"/>
    </row>
    <row r="175" spans="1:50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8"/>
      <c r="AG175" s="8"/>
      <c r="AH175" s="8"/>
      <c r="AI175" s="8"/>
      <c r="AJ175" s="8"/>
      <c r="AK175" s="8"/>
      <c r="AL175" s="8"/>
      <c r="AM175" s="7"/>
      <c r="AN175" s="7"/>
      <c r="AO175" s="7"/>
      <c r="AP175" s="7"/>
    </row>
    <row r="176" spans="1:50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8"/>
      <c r="AG176" s="8"/>
      <c r="AH176" s="8"/>
      <c r="AI176" s="8"/>
      <c r="AJ176" s="8"/>
      <c r="AK176" s="8"/>
      <c r="AL176" s="8"/>
      <c r="AM176" s="7"/>
      <c r="AN176" s="7"/>
      <c r="AO176" s="7"/>
      <c r="AP176" s="7"/>
    </row>
    <row r="177" spans="1:42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8"/>
      <c r="AG177" s="8"/>
      <c r="AH177" s="8"/>
      <c r="AI177" s="8"/>
      <c r="AJ177" s="8"/>
      <c r="AK177" s="8"/>
      <c r="AL177" s="8"/>
      <c r="AM177" s="7"/>
      <c r="AN177" s="7"/>
      <c r="AO177" s="7"/>
      <c r="AP177" s="7"/>
    </row>
    <row r="178" spans="1:42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8"/>
      <c r="AG178" s="8"/>
      <c r="AH178" s="8"/>
      <c r="AI178" s="8"/>
      <c r="AJ178" s="8"/>
      <c r="AK178" s="8"/>
      <c r="AL178" s="8"/>
      <c r="AM178" s="7"/>
      <c r="AN178" s="7"/>
      <c r="AO178" s="7"/>
      <c r="AP178" s="7"/>
    </row>
    <row r="179" spans="1:42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8"/>
      <c r="AG179" s="8"/>
      <c r="AH179" s="8"/>
      <c r="AI179" s="8"/>
      <c r="AJ179" s="8"/>
      <c r="AK179" s="8"/>
      <c r="AL179" s="8"/>
      <c r="AM179" s="7"/>
      <c r="AN179" s="7"/>
      <c r="AO179" s="7"/>
      <c r="AP179" s="7"/>
    </row>
    <row r="180" spans="1:42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8"/>
      <c r="AG180" s="8"/>
      <c r="AH180" s="8"/>
      <c r="AI180" s="8"/>
      <c r="AJ180" s="8"/>
      <c r="AK180" s="8"/>
      <c r="AL180" s="8"/>
      <c r="AM180" s="7"/>
      <c r="AN180" s="7"/>
      <c r="AO180" s="7"/>
      <c r="AP180" s="7"/>
    </row>
    <row r="181" spans="1:42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8"/>
      <c r="AG181" s="8"/>
      <c r="AH181" s="8"/>
      <c r="AI181" s="8"/>
      <c r="AJ181" s="8"/>
      <c r="AK181" s="8"/>
      <c r="AL181" s="8"/>
      <c r="AM181" s="7"/>
      <c r="AN181" s="7"/>
      <c r="AO181" s="7"/>
      <c r="AP181" s="7"/>
    </row>
    <row r="182" spans="1:42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8"/>
      <c r="AG182" s="8"/>
      <c r="AH182" s="8"/>
      <c r="AI182" s="8"/>
      <c r="AJ182" s="8"/>
      <c r="AK182" s="8"/>
      <c r="AL182" s="8"/>
      <c r="AM182" s="7"/>
      <c r="AN182" s="7"/>
      <c r="AO182" s="7"/>
      <c r="AP182" s="7"/>
    </row>
    <row r="183" spans="1:42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8"/>
      <c r="AG183" s="8"/>
      <c r="AH183" s="8"/>
      <c r="AI183" s="8"/>
      <c r="AJ183" s="8"/>
      <c r="AK183" s="8"/>
      <c r="AL183" s="8"/>
      <c r="AM183" s="7"/>
      <c r="AN183" s="7"/>
      <c r="AO183" s="7"/>
      <c r="AP183" s="7"/>
    </row>
    <row r="184" spans="1:42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8"/>
      <c r="AG184" s="8"/>
      <c r="AH184" s="8"/>
      <c r="AI184" s="8"/>
      <c r="AJ184" s="8"/>
      <c r="AK184" s="8"/>
      <c r="AL184" s="8"/>
      <c r="AM184" s="7"/>
      <c r="AN184" s="7"/>
      <c r="AO184" s="7"/>
      <c r="AP184" s="7"/>
    </row>
    <row r="185" spans="1:42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8"/>
      <c r="AG185" s="8"/>
      <c r="AH185" s="8"/>
      <c r="AI185" s="8"/>
      <c r="AJ185" s="8"/>
      <c r="AK185" s="8"/>
      <c r="AL185" s="8"/>
      <c r="AM185" s="7"/>
      <c r="AN185" s="7"/>
      <c r="AO185" s="7"/>
      <c r="AP185" s="7"/>
    </row>
    <row r="186" spans="1:42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8"/>
      <c r="AG186" s="8"/>
      <c r="AH186" s="8"/>
      <c r="AI186" s="8"/>
      <c r="AJ186" s="8"/>
      <c r="AK186" s="8"/>
      <c r="AL186" s="8"/>
      <c r="AM186" s="7"/>
      <c r="AN186" s="7"/>
      <c r="AO186" s="7"/>
      <c r="AP186" s="7"/>
    </row>
    <row r="187" spans="1:42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8"/>
      <c r="AG187" s="8"/>
      <c r="AH187" s="8"/>
      <c r="AI187" s="8"/>
      <c r="AJ187" s="8"/>
      <c r="AK187" s="8"/>
      <c r="AL187" s="8"/>
      <c r="AM187" s="7"/>
      <c r="AN187" s="7"/>
      <c r="AO187" s="7"/>
      <c r="AP187" s="7"/>
    </row>
    <row r="188" spans="1:42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8"/>
      <c r="AG188" s="8"/>
      <c r="AH188" s="8"/>
      <c r="AI188" s="8"/>
      <c r="AJ188" s="8"/>
      <c r="AK188" s="8"/>
      <c r="AL188" s="8"/>
      <c r="AM188" s="7"/>
      <c r="AN188" s="7"/>
      <c r="AO188" s="7"/>
      <c r="AP188" s="7"/>
    </row>
    <row r="189" spans="1:42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8"/>
      <c r="AG189" s="8"/>
      <c r="AH189" s="8"/>
      <c r="AI189" s="8"/>
      <c r="AJ189" s="8"/>
      <c r="AK189" s="8"/>
      <c r="AL189" s="8"/>
      <c r="AM189" s="7"/>
      <c r="AN189" s="7"/>
      <c r="AO189" s="7"/>
      <c r="AP189" s="7"/>
    </row>
    <row r="190" spans="1:42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8"/>
      <c r="AG190" s="8"/>
      <c r="AH190" s="8"/>
      <c r="AI190" s="8"/>
      <c r="AJ190" s="8"/>
      <c r="AK190" s="8"/>
      <c r="AL190" s="8"/>
      <c r="AM190" s="7"/>
      <c r="AN190" s="7"/>
      <c r="AO190" s="7"/>
      <c r="AP190" s="7"/>
    </row>
    <row r="191" spans="1:42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8"/>
      <c r="AG191" s="8"/>
      <c r="AH191" s="8"/>
      <c r="AI191" s="8"/>
      <c r="AJ191" s="8"/>
      <c r="AK191" s="8"/>
      <c r="AL191" s="8"/>
      <c r="AM191" s="7"/>
      <c r="AN191" s="7"/>
      <c r="AO191" s="7"/>
      <c r="AP191" s="7"/>
    </row>
    <row r="192" spans="1:4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8"/>
      <c r="AG192" s="8"/>
      <c r="AH192" s="8"/>
      <c r="AI192" s="8"/>
      <c r="AJ192" s="8"/>
      <c r="AK192" s="8"/>
      <c r="AL192" s="8"/>
      <c r="AM192" s="7"/>
      <c r="AN192" s="7"/>
      <c r="AO192" s="7"/>
      <c r="AP192" s="7"/>
    </row>
    <row r="193" spans="1:42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8"/>
      <c r="AG193" s="8"/>
      <c r="AH193" s="8"/>
      <c r="AI193" s="8"/>
      <c r="AJ193" s="8"/>
      <c r="AK193" s="8"/>
      <c r="AL193" s="8"/>
      <c r="AM193" s="7"/>
      <c r="AN193" s="7"/>
      <c r="AO193" s="7"/>
      <c r="AP193" s="7"/>
    </row>
    <row r="194" spans="1:4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8"/>
      <c r="AG194" s="8"/>
      <c r="AH194" s="8"/>
      <c r="AI194" s="8"/>
      <c r="AJ194" s="8"/>
      <c r="AK194" s="8"/>
      <c r="AL194" s="8"/>
      <c r="AM194" s="7"/>
      <c r="AN194" s="7"/>
      <c r="AO194" s="7"/>
      <c r="AP194" s="7"/>
    </row>
    <row r="195" spans="1:4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8"/>
      <c r="AG195" s="8"/>
      <c r="AH195" s="8"/>
      <c r="AI195" s="8"/>
      <c r="AJ195" s="8"/>
      <c r="AK195" s="8"/>
      <c r="AL195" s="8"/>
      <c r="AM195" s="7"/>
      <c r="AN195" s="7"/>
      <c r="AO195" s="7"/>
      <c r="AP195" s="7"/>
    </row>
    <row r="196" spans="1:4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8"/>
      <c r="AG196" s="8"/>
      <c r="AH196" s="8"/>
      <c r="AI196" s="8"/>
      <c r="AJ196" s="8"/>
      <c r="AK196" s="8"/>
      <c r="AL196" s="8"/>
      <c r="AM196" s="7"/>
      <c r="AN196" s="7"/>
      <c r="AO196" s="7"/>
      <c r="AP196" s="7"/>
    </row>
    <row r="197" spans="1:42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8"/>
      <c r="AG197" s="8"/>
      <c r="AH197" s="8"/>
      <c r="AI197" s="8"/>
      <c r="AJ197" s="8"/>
      <c r="AK197" s="8"/>
      <c r="AL197" s="8"/>
      <c r="AM197" s="7"/>
      <c r="AN197" s="7"/>
      <c r="AO197" s="7"/>
      <c r="AP197" s="7"/>
    </row>
    <row r="198" spans="1:42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8"/>
      <c r="AG198" s="8"/>
      <c r="AH198" s="8"/>
      <c r="AI198" s="8"/>
      <c r="AJ198" s="8"/>
      <c r="AK198" s="8"/>
      <c r="AL198" s="8"/>
      <c r="AM198" s="7"/>
      <c r="AN198" s="7"/>
      <c r="AO198" s="7"/>
      <c r="AP198" s="7"/>
    </row>
    <row r="199" spans="1:42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8"/>
      <c r="AG199" s="8"/>
      <c r="AH199" s="8"/>
      <c r="AI199" s="8"/>
      <c r="AJ199" s="8"/>
      <c r="AK199" s="8"/>
      <c r="AL199" s="8"/>
      <c r="AM199" s="7"/>
      <c r="AN199" s="7"/>
      <c r="AO199" s="7"/>
      <c r="AP199" s="7"/>
    </row>
    <row r="200" spans="1:42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8"/>
      <c r="AG200" s="8"/>
      <c r="AH200" s="8"/>
      <c r="AI200" s="8"/>
      <c r="AJ200" s="8"/>
      <c r="AK200" s="8"/>
      <c r="AL200" s="8"/>
      <c r="AM200" s="7"/>
      <c r="AN200" s="7"/>
      <c r="AO200" s="7"/>
      <c r="AP200" s="7"/>
    </row>
    <row r="201" spans="1:42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8"/>
      <c r="AG201" s="8"/>
      <c r="AH201" s="8"/>
      <c r="AI201" s="8"/>
      <c r="AJ201" s="8"/>
      <c r="AK201" s="8"/>
      <c r="AL201" s="8"/>
      <c r="AM201" s="7"/>
      <c r="AN201" s="7"/>
      <c r="AO201" s="7"/>
      <c r="AP201" s="7"/>
    </row>
    <row r="202" spans="1:4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8"/>
      <c r="AG202" s="8"/>
      <c r="AH202" s="8"/>
      <c r="AI202" s="8"/>
      <c r="AJ202" s="8"/>
      <c r="AK202" s="8"/>
      <c r="AL202" s="8"/>
      <c r="AM202" s="7"/>
      <c r="AN202" s="7"/>
      <c r="AO202" s="7"/>
      <c r="AP202" s="7"/>
    </row>
    <row r="203" spans="1:42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8"/>
      <c r="AG203" s="8"/>
      <c r="AH203" s="8"/>
      <c r="AI203" s="8"/>
      <c r="AJ203" s="8"/>
      <c r="AK203" s="8"/>
      <c r="AL203" s="8"/>
      <c r="AM203" s="7"/>
      <c r="AN203" s="7"/>
      <c r="AO203" s="7"/>
      <c r="AP203" s="7"/>
    </row>
    <row r="204" spans="1:42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8"/>
      <c r="AG204" s="8"/>
      <c r="AH204" s="8"/>
      <c r="AI204" s="8"/>
      <c r="AJ204" s="8"/>
      <c r="AK204" s="8"/>
      <c r="AL204" s="8"/>
      <c r="AM204" s="7"/>
      <c r="AN204" s="7"/>
      <c r="AO204" s="7"/>
      <c r="AP204" s="7"/>
    </row>
    <row r="205" spans="1:42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8"/>
      <c r="AG205" s="8"/>
      <c r="AH205" s="8"/>
      <c r="AI205" s="8"/>
      <c r="AJ205" s="8"/>
      <c r="AK205" s="8"/>
      <c r="AL205" s="8"/>
      <c r="AM205" s="7"/>
      <c r="AN205" s="7"/>
      <c r="AO205" s="7"/>
      <c r="AP205" s="7"/>
    </row>
    <row r="206" spans="1:42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8"/>
      <c r="AG206" s="8"/>
      <c r="AH206" s="8"/>
      <c r="AI206" s="8"/>
      <c r="AJ206" s="8"/>
      <c r="AK206" s="8"/>
      <c r="AL206" s="8"/>
      <c r="AM206" s="7"/>
      <c r="AN206" s="7"/>
      <c r="AO206" s="7"/>
      <c r="AP206" s="7"/>
    </row>
    <row r="207" spans="1:42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8"/>
      <c r="AG207" s="8"/>
      <c r="AH207" s="8"/>
      <c r="AI207" s="8"/>
      <c r="AJ207" s="8"/>
      <c r="AK207" s="8"/>
      <c r="AL207" s="8"/>
      <c r="AM207" s="7"/>
      <c r="AN207" s="7"/>
      <c r="AO207" s="7"/>
      <c r="AP207" s="7"/>
    </row>
    <row r="208" spans="1:4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8"/>
      <c r="AG208" s="8"/>
      <c r="AH208" s="8"/>
      <c r="AI208" s="8"/>
      <c r="AJ208" s="8"/>
      <c r="AK208" s="8"/>
      <c r="AL208" s="8"/>
      <c r="AM208" s="7"/>
      <c r="AN208" s="7"/>
      <c r="AO208" s="7"/>
      <c r="AP208" s="7"/>
    </row>
    <row r="209" spans="1:42">
      <c r="A209" s="8"/>
      <c r="B209" s="8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8"/>
      <c r="AG209" s="8"/>
      <c r="AH209" s="8"/>
      <c r="AI209" s="8"/>
      <c r="AJ209" s="8"/>
      <c r="AK209" s="8"/>
      <c r="AL209" s="8"/>
      <c r="AM209" s="7"/>
      <c r="AN209" s="7"/>
      <c r="AO209" s="7"/>
      <c r="AP209" s="7"/>
    </row>
    <row r="210" spans="1:42">
      <c r="A210" s="8"/>
      <c r="B210" s="8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8"/>
      <c r="AG210" s="8"/>
      <c r="AH210" s="8"/>
      <c r="AI210" s="8"/>
      <c r="AJ210" s="8"/>
      <c r="AK210" s="8"/>
      <c r="AL210" s="8"/>
      <c r="AM210" s="7"/>
      <c r="AN210" s="7"/>
      <c r="AO210" s="7"/>
      <c r="AP210" s="7"/>
    </row>
    <row r="211" spans="1:42">
      <c r="A211" s="8"/>
      <c r="B211" s="8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8"/>
      <c r="AG211" s="8"/>
      <c r="AH211" s="8"/>
      <c r="AI211" s="8"/>
      <c r="AJ211" s="8"/>
      <c r="AK211" s="8"/>
      <c r="AL211" s="8"/>
      <c r="AM211" s="7"/>
      <c r="AN211" s="7"/>
      <c r="AO211" s="7"/>
      <c r="AP211" s="7"/>
    </row>
    <row r="212" spans="1:42">
      <c r="A212" s="8"/>
      <c r="B212" s="8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8"/>
      <c r="AG212" s="8"/>
      <c r="AH212" s="8"/>
      <c r="AI212" s="8"/>
      <c r="AJ212" s="8"/>
      <c r="AK212" s="8"/>
      <c r="AL212" s="8"/>
      <c r="AM212" s="7"/>
      <c r="AN212" s="7"/>
      <c r="AO212" s="7"/>
      <c r="AP212" s="7"/>
    </row>
    <row r="213" spans="1:42">
      <c r="A213" s="8"/>
      <c r="B213" s="8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8"/>
      <c r="AG213" s="8"/>
      <c r="AH213" s="8"/>
      <c r="AI213" s="8"/>
      <c r="AJ213" s="8"/>
      <c r="AK213" s="8"/>
      <c r="AL213" s="8"/>
      <c r="AM213" s="7"/>
      <c r="AN213" s="7"/>
      <c r="AO213" s="7"/>
      <c r="AP213" s="7"/>
    </row>
    <row r="214" spans="1:42">
      <c r="A214" s="8"/>
      <c r="B214" s="8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8"/>
      <c r="AG214" s="8"/>
      <c r="AH214" s="8"/>
      <c r="AI214" s="8"/>
      <c r="AJ214" s="8"/>
      <c r="AK214" s="8"/>
      <c r="AL214" s="8"/>
      <c r="AM214" s="7"/>
      <c r="AN214" s="7"/>
      <c r="AO214" s="7"/>
      <c r="AP214" s="7"/>
    </row>
    <row r="215" spans="1:42">
      <c r="A215" s="8"/>
      <c r="B215" s="8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8"/>
      <c r="AG215" s="8"/>
      <c r="AH215" s="8"/>
      <c r="AI215" s="8"/>
      <c r="AJ215" s="8"/>
      <c r="AK215" s="8"/>
      <c r="AL215" s="8"/>
      <c r="AM215" s="7"/>
      <c r="AN215" s="7"/>
      <c r="AO215" s="7"/>
      <c r="AP215" s="7"/>
    </row>
    <row r="216" spans="1:42">
      <c r="A216" s="8"/>
      <c r="B216" s="8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8"/>
      <c r="AG216" s="8"/>
      <c r="AH216" s="8"/>
      <c r="AI216" s="8"/>
      <c r="AJ216" s="8"/>
      <c r="AK216" s="8"/>
      <c r="AL216" s="8"/>
      <c r="AM216" s="7"/>
      <c r="AN216" s="7"/>
      <c r="AO216" s="7"/>
      <c r="AP216" s="7"/>
    </row>
    <row r="217" spans="1:42">
      <c r="A217" s="8"/>
      <c r="B217" s="8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8"/>
      <c r="AG217" s="8"/>
      <c r="AH217" s="8"/>
      <c r="AI217" s="8"/>
      <c r="AJ217" s="8"/>
      <c r="AK217" s="8"/>
      <c r="AL217" s="8"/>
      <c r="AM217" s="7"/>
      <c r="AN217" s="7"/>
      <c r="AO217" s="7"/>
      <c r="AP217" s="7"/>
    </row>
    <row r="218" spans="1:42">
      <c r="A218" s="8"/>
      <c r="B218" s="8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8"/>
      <c r="AG218" s="8"/>
      <c r="AH218" s="8"/>
      <c r="AI218" s="8"/>
      <c r="AJ218" s="8"/>
      <c r="AK218" s="8"/>
      <c r="AL218" s="8"/>
      <c r="AM218" s="7"/>
      <c r="AN218" s="7"/>
      <c r="AO218" s="7"/>
      <c r="AP218" s="7"/>
    </row>
    <row r="219" spans="1:42">
      <c r="A219" s="8"/>
      <c r="B219" s="8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8"/>
      <c r="AG219" s="8"/>
      <c r="AH219" s="8"/>
      <c r="AI219" s="8"/>
      <c r="AJ219" s="8"/>
      <c r="AK219" s="8"/>
      <c r="AL219" s="8"/>
      <c r="AM219" s="7"/>
      <c r="AN219" s="7"/>
      <c r="AO219" s="7"/>
      <c r="AP219" s="7"/>
    </row>
    <row r="220" spans="1:42">
      <c r="A220" s="8"/>
      <c r="B220" s="8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8"/>
      <c r="AG220" s="8"/>
      <c r="AH220" s="8"/>
      <c r="AI220" s="8"/>
      <c r="AJ220" s="8"/>
      <c r="AK220" s="8"/>
      <c r="AL220" s="8"/>
      <c r="AM220" s="7"/>
      <c r="AN220" s="7"/>
      <c r="AO220" s="7"/>
      <c r="AP220" s="7"/>
    </row>
    <row r="221" spans="1:42">
      <c r="A221" s="8"/>
      <c r="B221" s="8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8"/>
      <c r="AG221" s="8"/>
      <c r="AH221" s="8"/>
      <c r="AI221" s="8"/>
      <c r="AJ221" s="8"/>
      <c r="AK221" s="8"/>
      <c r="AL221" s="8"/>
      <c r="AM221" s="7"/>
      <c r="AN221" s="7"/>
      <c r="AO221" s="7"/>
      <c r="AP221" s="7"/>
    </row>
    <row r="222" spans="1:42">
      <c r="A222" s="8"/>
      <c r="B222" s="8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8"/>
      <c r="AG222" s="8"/>
      <c r="AH222" s="8"/>
      <c r="AI222" s="8"/>
      <c r="AJ222" s="8"/>
      <c r="AK222" s="8"/>
      <c r="AL222" s="8"/>
      <c r="AM222" s="7"/>
      <c r="AN222" s="7"/>
      <c r="AO222" s="7"/>
      <c r="AP222" s="7"/>
    </row>
    <row r="223" spans="1:42">
      <c r="A223" s="8"/>
      <c r="B223" s="8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8"/>
      <c r="AG223" s="8"/>
      <c r="AH223" s="8"/>
      <c r="AI223" s="8"/>
      <c r="AJ223" s="8"/>
      <c r="AK223" s="8"/>
      <c r="AL223" s="8"/>
      <c r="AM223" s="7"/>
      <c r="AN223" s="7"/>
      <c r="AO223" s="7"/>
      <c r="AP223" s="7"/>
    </row>
    <row r="224" spans="1:42">
      <c r="A224" s="8"/>
      <c r="B224" s="8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8"/>
      <c r="AG224" s="8"/>
      <c r="AH224" s="8"/>
      <c r="AI224" s="8"/>
      <c r="AJ224" s="8"/>
      <c r="AK224" s="8"/>
      <c r="AL224" s="8"/>
      <c r="AM224" s="7"/>
      <c r="AN224" s="7"/>
      <c r="AO224" s="7"/>
      <c r="AP224" s="7"/>
    </row>
    <row r="225" spans="1:42">
      <c r="A225" s="8"/>
      <c r="B225" s="8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8"/>
      <c r="AG225" s="8"/>
      <c r="AH225" s="8"/>
      <c r="AI225" s="8"/>
      <c r="AJ225" s="8"/>
      <c r="AK225" s="8"/>
      <c r="AL225" s="8"/>
      <c r="AM225" s="7"/>
      <c r="AN225" s="7"/>
      <c r="AO225" s="7"/>
      <c r="AP225" s="7"/>
    </row>
    <row r="226" spans="1:42">
      <c r="A226" s="8"/>
      <c r="B226" s="8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8"/>
      <c r="AG226" s="8"/>
      <c r="AH226" s="8"/>
      <c r="AI226" s="8"/>
      <c r="AJ226" s="8"/>
      <c r="AK226" s="8"/>
      <c r="AL226" s="8"/>
      <c r="AM226" s="7"/>
      <c r="AN226" s="7"/>
      <c r="AO226" s="7"/>
      <c r="AP226" s="7"/>
    </row>
    <row r="227" spans="1:42">
      <c r="A227" s="8"/>
      <c r="B227" s="8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8"/>
      <c r="AG227" s="8"/>
      <c r="AH227" s="8"/>
      <c r="AI227" s="8"/>
      <c r="AJ227" s="8"/>
      <c r="AK227" s="8"/>
      <c r="AL227" s="8"/>
      <c r="AM227" s="7"/>
      <c r="AN227" s="7"/>
      <c r="AO227" s="7"/>
      <c r="AP227" s="7"/>
    </row>
    <row r="228" spans="1:42">
      <c r="A228" s="8"/>
      <c r="B228" s="8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8"/>
      <c r="AG228" s="8"/>
      <c r="AH228" s="8"/>
      <c r="AI228" s="8"/>
      <c r="AJ228" s="8"/>
      <c r="AK228" s="8"/>
      <c r="AL228" s="8"/>
      <c r="AM228" s="7"/>
      <c r="AN228" s="7"/>
      <c r="AO228" s="7"/>
      <c r="AP228" s="7"/>
    </row>
    <row r="229" spans="1:42">
      <c r="A229" s="8"/>
      <c r="B229" s="8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8"/>
      <c r="AG229" s="8"/>
      <c r="AH229" s="8"/>
      <c r="AI229" s="8"/>
      <c r="AJ229" s="8"/>
      <c r="AK229" s="8"/>
      <c r="AL229" s="8"/>
      <c r="AM229" s="7"/>
      <c r="AN229" s="7"/>
      <c r="AO229" s="7"/>
      <c r="AP229" s="7"/>
    </row>
    <row r="230" spans="1:42">
      <c r="A230" s="8"/>
      <c r="B230" s="8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8"/>
      <c r="AG230" s="8"/>
      <c r="AH230" s="8"/>
      <c r="AI230" s="8"/>
      <c r="AJ230" s="8"/>
      <c r="AK230" s="8"/>
      <c r="AL230" s="8"/>
      <c r="AM230" s="7"/>
      <c r="AN230" s="7"/>
      <c r="AO230" s="7"/>
      <c r="AP230" s="7"/>
    </row>
    <row r="231" spans="1:42">
      <c r="A231" s="8"/>
      <c r="B231" s="8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8"/>
      <c r="AG231" s="8"/>
      <c r="AH231" s="8"/>
      <c r="AI231" s="8"/>
      <c r="AJ231" s="8"/>
      <c r="AK231" s="8"/>
      <c r="AL231" s="8"/>
      <c r="AM231" s="7"/>
      <c r="AN231" s="7"/>
      <c r="AO231" s="7"/>
      <c r="AP231" s="7"/>
    </row>
    <row r="232" spans="1:42">
      <c r="A232" s="8"/>
      <c r="B232" s="8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8"/>
      <c r="AG232" s="8"/>
      <c r="AH232" s="8"/>
      <c r="AI232" s="8"/>
      <c r="AJ232" s="8"/>
      <c r="AK232" s="8"/>
      <c r="AL232" s="8"/>
      <c r="AM232" s="7"/>
      <c r="AN232" s="7"/>
      <c r="AO232" s="7"/>
      <c r="AP232" s="7"/>
    </row>
    <row r="233" spans="1:42">
      <c r="A233" s="8"/>
      <c r="B233" s="8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8"/>
      <c r="AG233" s="8"/>
      <c r="AH233" s="8"/>
      <c r="AI233" s="8"/>
      <c r="AJ233" s="8"/>
      <c r="AK233" s="8"/>
      <c r="AL233" s="8"/>
      <c r="AM233" s="7"/>
      <c r="AN233" s="7"/>
      <c r="AO233" s="7"/>
      <c r="AP233" s="7"/>
    </row>
    <row r="234" spans="1:42">
      <c r="A234" s="8"/>
      <c r="B234" s="8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8"/>
      <c r="AG234" s="8"/>
      <c r="AH234" s="8"/>
      <c r="AI234" s="8"/>
      <c r="AJ234" s="8"/>
      <c r="AK234" s="8"/>
      <c r="AL234" s="8"/>
      <c r="AM234" s="7"/>
      <c r="AN234" s="7"/>
      <c r="AO234" s="7"/>
      <c r="AP234" s="7"/>
    </row>
    <row r="235" spans="1:42">
      <c r="A235" s="8"/>
      <c r="B235" s="8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8"/>
      <c r="AG235" s="8"/>
      <c r="AH235" s="8"/>
      <c r="AI235" s="8"/>
      <c r="AJ235" s="8"/>
      <c r="AK235" s="8"/>
      <c r="AL235" s="8"/>
      <c r="AM235" s="7"/>
      <c r="AN235" s="7"/>
      <c r="AO235" s="7"/>
      <c r="AP235" s="7"/>
    </row>
    <row r="236" spans="1:42">
      <c r="A236" s="8"/>
      <c r="B236" s="8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8"/>
      <c r="AG236" s="8"/>
      <c r="AH236" s="8"/>
      <c r="AI236" s="8"/>
      <c r="AJ236" s="8"/>
      <c r="AK236" s="8"/>
      <c r="AL236" s="8"/>
      <c r="AM236" s="7"/>
      <c r="AN236" s="7"/>
      <c r="AO236" s="7"/>
      <c r="AP236" s="7"/>
    </row>
    <row r="237" spans="1:42">
      <c r="A237" s="8"/>
      <c r="B237" s="8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8"/>
      <c r="AG237" s="8"/>
      <c r="AH237" s="8"/>
      <c r="AI237" s="8"/>
      <c r="AJ237" s="8"/>
      <c r="AK237" s="8"/>
      <c r="AL237" s="8"/>
      <c r="AM237" s="7"/>
      <c r="AN237" s="7"/>
      <c r="AO237" s="7"/>
      <c r="AP237" s="7"/>
    </row>
    <row r="238" spans="1:42">
      <c r="A238" s="8"/>
      <c r="B238" s="8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8"/>
      <c r="AG238" s="8"/>
      <c r="AH238" s="8"/>
      <c r="AI238" s="8"/>
      <c r="AJ238" s="8"/>
      <c r="AK238" s="8"/>
      <c r="AL238" s="8"/>
      <c r="AM238" s="7"/>
      <c r="AN238" s="7"/>
      <c r="AO238" s="7"/>
      <c r="AP238" s="7"/>
    </row>
    <row r="239" spans="1:42">
      <c r="A239" s="8"/>
      <c r="B239" s="8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8"/>
      <c r="AG239" s="8"/>
      <c r="AH239" s="8"/>
      <c r="AI239" s="8"/>
      <c r="AJ239" s="8"/>
      <c r="AK239" s="8"/>
      <c r="AL239" s="8"/>
      <c r="AM239" s="7"/>
      <c r="AN239" s="7"/>
      <c r="AO239" s="7"/>
      <c r="AP239" s="7"/>
    </row>
    <row r="240" spans="1:42">
      <c r="A240" s="8"/>
      <c r="B240" s="8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8"/>
      <c r="AG240" s="8"/>
      <c r="AH240" s="8"/>
      <c r="AI240" s="8"/>
      <c r="AJ240" s="8"/>
      <c r="AK240" s="8"/>
      <c r="AL240" s="8"/>
      <c r="AM240" s="7"/>
      <c r="AN240" s="7"/>
      <c r="AO240" s="7"/>
      <c r="AP240" s="7"/>
    </row>
    <row r="241" spans="1:42">
      <c r="A241" s="8"/>
      <c r="B241" s="8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8"/>
      <c r="AG241" s="8"/>
      <c r="AH241" s="8"/>
      <c r="AI241" s="8"/>
      <c r="AJ241" s="8"/>
      <c r="AK241" s="8"/>
      <c r="AL241" s="8"/>
      <c r="AM241" s="7"/>
      <c r="AN241" s="7"/>
      <c r="AO241" s="7"/>
      <c r="AP241" s="7"/>
    </row>
    <row r="242" spans="1:42">
      <c r="A242" s="8"/>
      <c r="B242" s="8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8"/>
      <c r="AG242" s="8"/>
      <c r="AH242" s="8"/>
      <c r="AI242" s="8"/>
      <c r="AJ242" s="8"/>
      <c r="AK242" s="8"/>
      <c r="AL242" s="8"/>
      <c r="AM242" s="7"/>
      <c r="AN242" s="7"/>
      <c r="AO242" s="7"/>
      <c r="AP242" s="7"/>
    </row>
    <row r="243" spans="1:42">
      <c r="A243" s="8"/>
      <c r="B243" s="8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8"/>
      <c r="AG243" s="8"/>
      <c r="AH243" s="8"/>
      <c r="AI243" s="8"/>
      <c r="AJ243" s="8"/>
      <c r="AK243" s="8"/>
      <c r="AL243" s="8"/>
      <c r="AM243" s="7"/>
      <c r="AN243" s="7"/>
      <c r="AO243" s="7"/>
      <c r="AP243" s="7"/>
    </row>
    <row r="244" spans="1:42">
      <c r="A244" s="8"/>
      <c r="B244" s="8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8"/>
      <c r="AG244" s="8"/>
      <c r="AH244" s="8"/>
      <c r="AI244" s="8"/>
      <c r="AJ244" s="8"/>
      <c r="AK244" s="8"/>
      <c r="AL244" s="8"/>
      <c r="AM244" s="7"/>
      <c r="AN244" s="7"/>
      <c r="AO244" s="7"/>
      <c r="AP244" s="7"/>
    </row>
    <row r="245" spans="1:42">
      <c r="A245" s="8"/>
      <c r="B245" s="8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8"/>
      <c r="AG245" s="8"/>
      <c r="AH245" s="8"/>
      <c r="AI245" s="8"/>
      <c r="AJ245" s="8"/>
      <c r="AK245" s="8"/>
      <c r="AL245" s="8"/>
      <c r="AM245" s="7"/>
      <c r="AN245" s="7"/>
      <c r="AO245" s="7"/>
      <c r="AP245" s="7"/>
    </row>
    <row r="246" spans="1:42">
      <c r="A246" s="8"/>
      <c r="B246" s="8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8"/>
      <c r="AG246" s="8"/>
      <c r="AH246" s="8"/>
      <c r="AI246" s="8"/>
      <c r="AJ246" s="8"/>
      <c r="AK246" s="8"/>
      <c r="AL246" s="8"/>
      <c r="AM246" s="7"/>
      <c r="AN246" s="7"/>
      <c r="AO246" s="7"/>
      <c r="AP246" s="7"/>
    </row>
    <row r="247" spans="1:42">
      <c r="A247" s="8"/>
      <c r="B247" s="8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8"/>
      <c r="AG247" s="8"/>
      <c r="AH247" s="8"/>
      <c r="AI247" s="8"/>
      <c r="AJ247" s="8"/>
      <c r="AK247" s="8"/>
      <c r="AL247" s="8"/>
      <c r="AM247" s="7"/>
      <c r="AN247" s="7"/>
      <c r="AO247" s="7"/>
      <c r="AP247" s="7"/>
    </row>
    <row r="248" spans="1:42">
      <c r="A248" s="8"/>
      <c r="B248" s="8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8"/>
      <c r="AG248" s="8"/>
      <c r="AH248" s="8"/>
      <c r="AI248" s="8"/>
      <c r="AJ248" s="8"/>
      <c r="AK248" s="8"/>
      <c r="AL248" s="8"/>
      <c r="AM248" s="7"/>
      <c r="AN248" s="7"/>
      <c r="AO248" s="7"/>
      <c r="AP248" s="7"/>
    </row>
    <row r="249" spans="1:42">
      <c r="A249" s="8"/>
      <c r="B249" s="8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8"/>
      <c r="AG249" s="8"/>
      <c r="AH249" s="8"/>
      <c r="AI249" s="8"/>
      <c r="AJ249" s="8"/>
      <c r="AK249" s="8"/>
      <c r="AL249" s="8"/>
      <c r="AM249" s="7"/>
      <c r="AN249" s="7"/>
      <c r="AO249" s="7"/>
      <c r="AP249" s="7"/>
    </row>
    <row r="250" spans="1:42">
      <c r="A250" s="8"/>
      <c r="B250" s="8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8"/>
      <c r="AG250" s="8"/>
      <c r="AH250" s="8"/>
      <c r="AI250" s="8"/>
      <c r="AJ250" s="8"/>
      <c r="AK250" s="8"/>
      <c r="AL250" s="8"/>
      <c r="AM250" s="7"/>
      <c r="AN250" s="7"/>
      <c r="AO250" s="7"/>
      <c r="AP250" s="7"/>
    </row>
    <row r="251" spans="1:42">
      <c r="A251" s="8"/>
      <c r="B251" s="8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8"/>
      <c r="AG251" s="8"/>
      <c r="AH251" s="8"/>
      <c r="AI251" s="8"/>
      <c r="AJ251" s="8"/>
      <c r="AK251" s="8"/>
      <c r="AL251" s="8"/>
      <c r="AM251" s="7"/>
      <c r="AN251" s="7"/>
      <c r="AO251" s="7"/>
      <c r="AP251" s="7"/>
    </row>
    <row r="252" spans="1:42">
      <c r="A252" s="8"/>
      <c r="B252" s="8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8"/>
      <c r="AG252" s="8"/>
      <c r="AH252" s="8"/>
      <c r="AI252" s="8"/>
      <c r="AJ252" s="8"/>
      <c r="AK252" s="8"/>
      <c r="AL252" s="8"/>
      <c r="AM252" s="7"/>
      <c r="AN252" s="7"/>
      <c r="AO252" s="7"/>
      <c r="AP252" s="7"/>
    </row>
    <row r="253" spans="1:42">
      <c r="A253" s="8"/>
      <c r="B253" s="8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8"/>
      <c r="AG253" s="8"/>
      <c r="AH253" s="8"/>
      <c r="AI253" s="8"/>
      <c r="AJ253" s="8"/>
      <c r="AK253" s="8"/>
      <c r="AL253" s="8"/>
      <c r="AM253" s="7"/>
      <c r="AN253" s="7"/>
      <c r="AO253" s="7"/>
      <c r="AP253" s="7"/>
    </row>
    <row r="254" spans="1:42">
      <c r="A254" s="8"/>
      <c r="B254" s="8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8"/>
      <c r="AG254" s="8"/>
      <c r="AH254" s="8"/>
      <c r="AI254" s="8"/>
      <c r="AJ254" s="8"/>
      <c r="AK254" s="8"/>
      <c r="AL254" s="8"/>
      <c r="AM254" s="7"/>
      <c r="AN254" s="7"/>
      <c r="AO254" s="7"/>
      <c r="AP254" s="7"/>
    </row>
    <row r="255" spans="1:42">
      <c r="A255" s="8"/>
      <c r="B255" s="8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8"/>
      <c r="AG255" s="8"/>
      <c r="AH255" s="8"/>
      <c r="AI255" s="8"/>
      <c r="AJ255" s="8"/>
      <c r="AK255" s="8"/>
      <c r="AL255" s="8"/>
      <c r="AM255" s="7"/>
      <c r="AN255" s="7"/>
      <c r="AO255" s="7"/>
      <c r="AP255" s="7"/>
    </row>
    <row r="256" spans="1:42">
      <c r="A256" s="8"/>
      <c r="B256" s="8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8"/>
      <c r="AG256" s="8"/>
      <c r="AH256" s="8"/>
      <c r="AI256" s="8"/>
      <c r="AJ256" s="8"/>
      <c r="AK256" s="8"/>
      <c r="AL256" s="8"/>
      <c r="AM256" s="7"/>
      <c r="AN256" s="7"/>
      <c r="AO256" s="7"/>
      <c r="AP256" s="7"/>
    </row>
    <row r="257" spans="1:42">
      <c r="A257" s="8"/>
      <c r="B257" s="8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8"/>
      <c r="AG257" s="8"/>
      <c r="AH257" s="8"/>
      <c r="AI257" s="8"/>
      <c r="AJ257" s="8"/>
      <c r="AK257" s="8"/>
      <c r="AL257" s="8"/>
      <c r="AM257" s="7"/>
      <c r="AN257" s="7"/>
      <c r="AO257" s="7"/>
      <c r="AP257" s="7"/>
    </row>
    <row r="258" spans="1:42">
      <c r="A258" s="8"/>
      <c r="B258" s="8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8"/>
      <c r="AG258" s="8"/>
      <c r="AH258" s="8"/>
      <c r="AI258" s="8"/>
      <c r="AJ258" s="8"/>
      <c r="AK258" s="8"/>
      <c r="AL258" s="8"/>
      <c r="AM258" s="7"/>
      <c r="AN258" s="7"/>
      <c r="AO258" s="7"/>
      <c r="AP258" s="7"/>
    </row>
    <row r="259" spans="1:42">
      <c r="A259" s="8"/>
      <c r="B259" s="8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8"/>
      <c r="AG259" s="8"/>
      <c r="AH259" s="8"/>
      <c r="AI259" s="8"/>
      <c r="AJ259" s="8"/>
      <c r="AK259" s="8"/>
      <c r="AL259" s="8"/>
      <c r="AM259" s="7"/>
      <c r="AN259" s="7"/>
      <c r="AO259" s="7"/>
      <c r="AP259" s="7"/>
    </row>
    <row r="260" spans="1:42">
      <c r="A260" s="8"/>
      <c r="B260" s="8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8"/>
      <c r="AG260" s="8"/>
      <c r="AH260" s="8"/>
      <c r="AI260" s="8"/>
      <c r="AJ260" s="8"/>
      <c r="AK260" s="8"/>
      <c r="AL260" s="8"/>
      <c r="AM260" s="7"/>
      <c r="AN260" s="7"/>
      <c r="AO260" s="7"/>
      <c r="AP260" s="7"/>
    </row>
    <row r="261" spans="1:42">
      <c r="A261" s="8"/>
      <c r="B261" s="8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8"/>
      <c r="AG261" s="8"/>
      <c r="AH261" s="8"/>
      <c r="AI261" s="8"/>
      <c r="AJ261" s="8"/>
      <c r="AK261" s="8"/>
      <c r="AL261" s="8"/>
      <c r="AM261" s="7"/>
      <c r="AN261" s="7"/>
      <c r="AO261" s="7"/>
      <c r="AP261" s="7"/>
    </row>
    <row r="262" spans="1:42">
      <c r="A262" s="8"/>
      <c r="B262" s="8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8"/>
      <c r="AG262" s="8"/>
      <c r="AH262" s="8"/>
      <c r="AI262" s="8"/>
      <c r="AJ262" s="8"/>
      <c r="AK262" s="8"/>
      <c r="AL262" s="8"/>
      <c r="AM262" s="7"/>
      <c r="AN262" s="7"/>
      <c r="AO262" s="7"/>
      <c r="AP262" s="7"/>
    </row>
    <row r="263" spans="1:42">
      <c r="A263" s="8"/>
      <c r="B263" s="8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8"/>
      <c r="AG263" s="8"/>
      <c r="AH263" s="8"/>
      <c r="AI263" s="8"/>
      <c r="AJ263" s="8"/>
      <c r="AK263" s="8"/>
      <c r="AL263" s="8"/>
      <c r="AM263" s="7"/>
      <c r="AN263" s="7"/>
      <c r="AO263" s="7"/>
      <c r="AP263" s="7"/>
    </row>
    <row r="264" spans="1:42">
      <c r="A264" s="8"/>
      <c r="B264" s="8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8"/>
      <c r="AG264" s="8"/>
      <c r="AH264" s="8"/>
      <c r="AI264" s="8"/>
      <c r="AJ264" s="8"/>
      <c r="AK264" s="8"/>
      <c r="AL264" s="8"/>
      <c r="AM264" s="7"/>
      <c r="AN264" s="7"/>
      <c r="AO264" s="7"/>
      <c r="AP264" s="7"/>
    </row>
    <row r="265" spans="1:42">
      <c r="A265" s="8"/>
      <c r="B265" s="8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8"/>
      <c r="AG265" s="8"/>
      <c r="AH265" s="8"/>
      <c r="AI265" s="8"/>
      <c r="AJ265" s="8"/>
      <c r="AK265" s="8"/>
      <c r="AL265" s="8"/>
      <c r="AM265" s="7"/>
      <c r="AN265" s="7"/>
      <c r="AO265" s="7"/>
      <c r="AP265" s="7"/>
    </row>
    <row r="266" spans="1:42">
      <c r="A266" s="8"/>
      <c r="B266" s="8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8"/>
      <c r="AG266" s="8"/>
      <c r="AH266" s="8"/>
      <c r="AI266" s="8"/>
      <c r="AJ266" s="8"/>
      <c r="AK266" s="8"/>
      <c r="AL266" s="8"/>
      <c r="AM266" s="7"/>
      <c r="AN266" s="7"/>
      <c r="AO266" s="7"/>
      <c r="AP266" s="7"/>
    </row>
    <row r="267" spans="1:42">
      <c r="A267" s="8"/>
      <c r="B267" s="8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8"/>
      <c r="AG267" s="8"/>
      <c r="AH267" s="8"/>
      <c r="AI267" s="8"/>
      <c r="AJ267" s="8"/>
      <c r="AK267" s="8"/>
      <c r="AL267" s="8"/>
      <c r="AM267" s="7"/>
      <c r="AN267" s="7"/>
      <c r="AO267" s="7"/>
      <c r="AP267" s="7"/>
    </row>
    <row r="268" spans="1:42">
      <c r="A268" s="8"/>
      <c r="B268" s="8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8"/>
      <c r="AG268" s="8"/>
      <c r="AH268" s="8"/>
      <c r="AI268" s="8"/>
      <c r="AJ268" s="8"/>
      <c r="AK268" s="8"/>
      <c r="AL268" s="8"/>
      <c r="AM268" s="7"/>
      <c r="AN268" s="7"/>
      <c r="AO268" s="7"/>
      <c r="AP268" s="7"/>
    </row>
    <row r="269" spans="1:42">
      <c r="A269" s="8"/>
      <c r="B269" s="8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8"/>
      <c r="AG269" s="8"/>
      <c r="AH269" s="8"/>
      <c r="AI269" s="8"/>
      <c r="AJ269" s="8"/>
      <c r="AK269" s="8"/>
      <c r="AL269" s="8"/>
      <c r="AM269" s="7"/>
      <c r="AN269" s="7"/>
      <c r="AO269" s="7"/>
      <c r="AP269" s="7"/>
    </row>
    <row r="270" spans="1:42">
      <c r="A270" s="8"/>
      <c r="B270" s="8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8"/>
      <c r="AG270" s="8"/>
      <c r="AH270" s="8"/>
      <c r="AI270" s="8"/>
      <c r="AJ270" s="8"/>
      <c r="AK270" s="8"/>
      <c r="AL270" s="8"/>
      <c r="AM270" s="7"/>
      <c r="AN270" s="7"/>
      <c r="AO270" s="7"/>
      <c r="AP270" s="7"/>
    </row>
    <row r="271" spans="1:42">
      <c r="A271" s="8"/>
      <c r="B271" s="8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8"/>
      <c r="AG271" s="8"/>
      <c r="AH271" s="8"/>
      <c r="AI271" s="8"/>
      <c r="AJ271" s="8"/>
      <c r="AK271" s="8"/>
      <c r="AL271" s="8"/>
      <c r="AM271" s="7"/>
      <c r="AN271" s="7"/>
      <c r="AO271" s="7"/>
      <c r="AP271" s="7"/>
    </row>
    <row r="272" spans="1:42">
      <c r="A272" s="8"/>
      <c r="B272" s="8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8"/>
      <c r="AG272" s="8"/>
      <c r="AH272" s="8"/>
      <c r="AI272" s="8"/>
      <c r="AJ272" s="8"/>
      <c r="AK272" s="8"/>
      <c r="AL272" s="8"/>
      <c r="AM272" s="7"/>
      <c r="AN272" s="7"/>
      <c r="AO272" s="7"/>
      <c r="AP272" s="7"/>
    </row>
    <row r="273" spans="1:42">
      <c r="A273" s="8"/>
      <c r="B273" s="8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8"/>
      <c r="AG273" s="8"/>
      <c r="AH273" s="8"/>
      <c r="AI273" s="8"/>
      <c r="AJ273" s="8"/>
      <c r="AK273" s="8"/>
      <c r="AL273" s="8"/>
      <c r="AM273" s="7"/>
      <c r="AN273" s="7"/>
      <c r="AO273" s="7"/>
      <c r="AP273" s="7"/>
    </row>
    <row r="274" spans="1:42">
      <c r="A274" s="8"/>
      <c r="B274" s="8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8"/>
      <c r="AG274" s="8"/>
      <c r="AH274" s="8"/>
      <c r="AI274" s="8"/>
      <c r="AJ274" s="8"/>
      <c r="AK274" s="8"/>
      <c r="AL274" s="8"/>
      <c r="AM274" s="7"/>
      <c r="AN274" s="7"/>
      <c r="AO274" s="7"/>
      <c r="AP274" s="7"/>
    </row>
    <row r="275" spans="1:42">
      <c r="A275" s="8"/>
      <c r="B275" s="8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8"/>
      <c r="AG275" s="8"/>
      <c r="AH275" s="8"/>
      <c r="AI275" s="8"/>
      <c r="AJ275" s="8"/>
      <c r="AK275" s="8"/>
      <c r="AL275" s="8"/>
      <c r="AM275" s="7"/>
      <c r="AN275" s="7"/>
      <c r="AO275" s="7"/>
      <c r="AP275" s="7"/>
    </row>
    <row r="276" spans="1:42">
      <c r="A276" s="8"/>
      <c r="B276" s="8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8"/>
      <c r="AG276" s="8"/>
      <c r="AH276" s="8"/>
      <c r="AI276" s="8"/>
      <c r="AJ276" s="8"/>
      <c r="AK276" s="8"/>
      <c r="AL276" s="8"/>
      <c r="AM276" s="7"/>
      <c r="AN276" s="7"/>
      <c r="AO276" s="7"/>
      <c r="AP276" s="7"/>
    </row>
    <row r="277" spans="1:42">
      <c r="A277" s="8"/>
      <c r="B277" s="8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8"/>
      <c r="AG277" s="8"/>
      <c r="AH277" s="8"/>
      <c r="AI277" s="8"/>
      <c r="AJ277" s="8"/>
      <c r="AK277" s="8"/>
      <c r="AL277" s="8"/>
      <c r="AM277" s="7"/>
      <c r="AN277" s="7"/>
      <c r="AO277" s="7"/>
      <c r="AP277" s="7"/>
    </row>
    <row r="278" spans="1:42">
      <c r="A278" s="8"/>
      <c r="B278" s="8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8"/>
      <c r="AG278" s="8"/>
      <c r="AH278" s="8"/>
      <c r="AI278" s="8"/>
      <c r="AJ278" s="8"/>
      <c r="AK278" s="8"/>
      <c r="AL278" s="8"/>
      <c r="AM278" s="7"/>
      <c r="AN278" s="7"/>
      <c r="AO278" s="7"/>
      <c r="AP278" s="7"/>
    </row>
    <row r="279" spans="1:42">
      <c r="A279" s="8"/>
      <c r="B279" s="8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8"/>
      <c r="AG279" s="8"/>
      <c r="AH279" s="8"/>
      <c r="AI279" s="8"/>
      <c r="AJ279" s="8"/>
      <c r="AK279" s="8"/>
      <c r="AL279" s="8"/>
      <c r="AM279" s="7"/>
      <c r="AN279" s="7"/>
      <c r="AO279" s="7"/>
      <c r="AP279" s="7"/>
    </row>
    <row r="280" spans="1:42">
      <c r="A280" s="8"/>
      <c r="B280" s="8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8"/>
      <c r="AG280" s="8"/>
      <c r="AH280" s="8"/>
      <c r="AI280" s="8"/>
      <c r="AJ280" s="8"/>
      <c r="AK280" s="8"/>
      <c r="AL280" s="8"/>
      <c r="AM280" s="7"/>
      <c r="AN280" s="7"/>
      <c r="AO280" s="7"/>
      <c r="AP280" s="7"/>
    </row>
    <row r="281" spans="1:42">
      <c r="A281" s="8"/>
      <c r="B281" s="8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8"/>
      <c r="AG281" s="8"/>
      <c r="AH281" s="8"/>
      <c r="AI281" s="8"/>
      <c r="AJ281" s="8"/>
      <c r="AK281" s="8"/>
      <c r="AL281" s="8"/>
      <c r="AM281" s="7"/>
      <c r="AN281" s="7"/>
      <c r="AO281" s="7"/>
      <c r="AP281" s="7"/>
    </row>
    <row r="282" spans="1:42">
      <c r="A282" s="8"/>
      <c r="B282" s="8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8"/>
      <c r="AG282" s="8"/>
      <c r="AH282" s="8"/>
      <c r="AI282" s="8"/>
      <c r="AJ282" s="8"/>
      <c r="AK282" s="8"/>
      <c r="AL282" s="8"/>
      <c r="AM282" s="7"/>
      <c r="AN282" s="7"/>
      <c r="AO282" s="7"/>
      <c r="AP282" s="7"/>
    </row>
    <row r="283" spans="1:42">
      <c r="A283" s="8"/>
      <c r="B283" s="8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8"/>
      <c r="AG283" s="8"/>
      <c r="AH283" s="8"/>
      <c r="AI283" s="8"/>
      <c r="AJ283" s="8"/>
      <c r="AK283" s="8"/>
      <c r="AL283" s="8"/>
      <c r="AM283" s="7"/>
      <c r="AN283" s="7"/>
      <c r="AO283" s="7"/>
      <c r="AP283" s="7"/>
    </row>
    <row r="284" spans="1:42">
      <c r="A284" s="8"/>
      <c r="B284" s="8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8"/>
      <c r="AG284" s="8"/>
      <c r="AH284" s="8"/>
      <c r="AI284" s="8"/>
      <c r="AJ284" s="8"/>
      <c r="AK284" s="8"/>
      <c r="AL284" s="8"/>
      <c r="AM284" s="7"/>
      <c r="AN284" s="7"/>
      <c r="AO284" s="7"/>
      <c r="AP284" s="7"/>
    </row>
    <row r="285" spans="1:42">
      <c r="A285" s="8"/>
      <c r="B285" s="8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8"/>
      <c r="AG285" s="8"/>
      <c r="AH285" s="8"/>
      <c r="AI285" s="8"/>
      <c r="AJ285" s="8"/>
      <c r="AK285" s="8"/>
      <c r="AL285" s="8"/>
      <c r="AM285" s="7"/>
      <c r="AN285" s="7"/>
      <c r="AO285" s="7"/>
      <c r="AP285" s="7"/>
    </row>
    <row r="286" spans="1:42">
      <c r="A286" s="8"/>
      <c r="B286" s="8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8"/>
      <c r="AG286" s="8"/>
      <c r="AH286" s="8"/>
      <c r="AI286" s="8"/>
      <c r="AJ286" s="8"/>
      <c r="AK286" s="8"/>
      <c r="AL286" s="8"/>
      <c r="AM286" s="7"/>
      <c r="AN286" s="7"/>
      <c r="AO286" s="7"/>
      <c r="AP286" s="7"/>
    </row>
    <row r="287" spans="1:42">
      <c r="A287" s="8"/>
      <c r="B287" s="8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8"/>
      <c r="AG287" s="8"/>
      <c r="AH287" s="8"/>
      <c r="AI287" s="8"/>
      <c r="AJ287" s="8"/>
      <c r="AK287" s="8"/>
      <c r="AL287" s="8"/>
      <c r="AM287" s="7"/>
      <c r="AN287" s="7"/>
      <c r="AO287" s="7"/>
      <c r="AP287" s="7"/>
    </row>
    <row r="288" spans="1:42">
      <c r="A288" s="8"/>
      <c r="B288" s="8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8"/>
      <c r="AG288" s="8"/>
      <c r="AH288" s="8"/>
      <c r="AI288" s="8"/>
      <c r="AJ288" s="8"/>
      <c r="AK288" s="8"/>
      <c r="AL288" s="8"/>
      <c r="AM288" s="7"/>
      <c r="AN288" s="7"/>
      <c r="AO288" s="7"/>
      <c r="AP288" s="7"/>
    </row>
    <row r="289" spans="1:42">
      <c r="A289" s="8"/>
      <c r="B289" s="8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8"/>
      <c r="AG289" s="8"/>
      <c r="AH289" s="8"/>
      <c r="AI289" s="8"/>
      <c r="AJ289" s="8"/>
      <c r="AK289" s="8"/>
      <c r="AL289" s="8"/>
      <c r="AM289" s="7"/>
      <c r="AN289" s="7"/>
      <c r="AO289" s="7"/>
      <c r="AP289" s="7"/>
    </row>
    <row r="290" spans="1:42">
      <c r="A290" s="8"/>
      <c r="B290" s="8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8"/>
      <c r="AG290" s="8"/>
      <c r="AH290" s="8"/>
      <c r="AI290" s="8"/>
      <c r="AJ290" s="8"/>
      <c r="AK290" s="8"/>
      <c r="AL290" s="8"/>
      <c r="AM290" s="7"/>
      <c r="AN290" s="7"/>
      <c r="AO290" s="7"/>
      <c r="AP290" s="7"/>
    </row>
    <row r="291" spans="1:42">
      <c r="A291" s="8"/>
      <c r="B291" s="8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8"/>
      <c r="AG291" s="8"/>
      <c r="AH291" s="8"/>
      <c r="AI291" s="8"/>
      <c r="AJ291" s="8"/>
      <c r="AK291" s="8"/>
      <c r="AL291" s="8"/>
      <c r="AM291" s="7"/>
      <c r="AN291" s="7"/>
      <c r="AO291" s="7"/>
      <c r="AP291" s="7"/>
    </row>
    <row r="292" spans="1:42">
      <c r="A292" s="8"/>
      <c r="B292" s="8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8"/>
      <c r="AG292" s="8"/>
      <c r="AH292" s="8"/>
      <c r="AI292" s="8"/>
      <c r="AJ292" s="8"/>
      <c r="AK292" s="8"/>
      <c r="AL292" s="8"/>
      <c r="AM292" s="7"/>
      <c r="AN292" s="7"/>
      <c r="AO292" s="7"/>
      <c r="AP292" s="7"/>
    </row>
    <row r="293" spans="1:42">
      <c r="A293" s="8"/>
      <c r="B293" s="8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8"/>
      <c r="AG293" s="8"/>
      <c r="AH293" s="8"/>
      <c r="AI293" s="8"/>
      <c r="AJ293" s="8"/>
      <c r="AK293" s="8"/>
      <c r="AL293" s="8"/>
      <c r="AM293" s="7"/>
      <c r="AN293" s="7"/>
      <c r="AO293" s="7"/>
      <c r="AP293" s="7"/>
    </row>
    <row r="294" spans="1:42">
      <c r="A294" s="8"/>
      <c r="B294" s="8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8"/>
      <c r="AG294" s="8"/>
      <c r="AH294" s="8"/>
      <c r="AI294" s="8"/>
      <c r="AJ294" s="8"/>
      <c r="AK294" s="8"/>
      <c r="AL294" s="8"/>
      <c r="AM294" s="7"/>
      <c r="AN294" s="7"/>
      <c r="AO294" s="7"/>
      <c r="AP294" s="7"/>
    </row>
    <row r="295" spans="1:42">
      <c r="A295" s="8"/>
      <c r="B295" s="8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8"/>
      <c r="AG295" s="8"/>
      <c r="AH295" s="8"/>
      <c r="AI295" s="8"/>
      <c r="AJ295" s="8"/>
      <c r="AK295" s="8"/>
      <c r="AL295" s="8"/>
      <c r="AM295" s="7"/>
      <c r="AN295" s="7"/>
      <c r="AO295" s="7"/>
      <c r="AP295" s="7"/>
    </row>
    <row r="296" spans="1:42">
      <c r="A296" s="8"/>
      <c r="B296" s="8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8"/>
      <c r="AG296" s="8"/>
      <c r="AH296" s="8"/>
      <c r="AI296" s="8"/>
      <c r="AJ296" s="8"/>
      <c r="AK296" s="8"/>
      <c r="AL296" s="8"/>
      <c r="AM296" s="7"/>
      <c r="AN296" s="7"/>
      <c r="AO296" s="7"/>
      <c r="AP296" s="7"/>
    </row>
    <row r="297" spans="1:42">
      <c r="A297" s="8"/>
      <c r="B297" s="8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8"/>
      <c r="AG297" s="8"/>
      <c r="AH297" s="8"/>
      <c r="AI297" s="8"/>
      <c r="AJ297" s="8"/>
      <c r="AK297" s="8"/>
      <c r="AL297" s="8"/>
      <c r="AM297" s="7"/>
      <c r="AN297" s="7"/>
      <c r="AO297" s="7"/>
      <c r="AP297" s="7"/>
    </row>
    <row r="298" spans="1:42">
      <c r="A298" s="8"/>
      <c r="B298" s="8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8"/>
      <c r="AG298" s="8"/>
      <c r="AH298" s="8"/>
      <c r="AI298" s="8"/>
      <c r="AJ298" s="8"/>
      <c r="AK298" s="8"/>
      <c r="AL298" s="8"/>
      <c r="AM298" s="7"/>
      <c r="AN298" s="7"/>
      <c r="AO298" s="7"/>
      <c r="AP298" s="7"/>
    </row>
    <row r="299" spans="1:42">
      <c r="A299" s="8"/>
      <c r="B299" s="8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8"/>
      <c r="AG299" s="8"/>
      <c r="AH299" s="8"/>
      <c r="AI299" s="8"/>
      <c r="AJ299" s="8"/>
      <c r="AK299" s="8"/>
      <c r="AL299" s="8"/>
      <c r="AM299" s="7"/>
      <c r="AN299" s="7"/>
      <c r="AO299" s="7"/>
      <c r="AP299" s="7"/>
    </row>
    <row r="300" spans="1:42">
      <c r="A300" s="8"/>
      <c r="B300" s="8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8"/>
      <c r="AG300" s="8"/>
      <c r="AH300" s="8"/>
      <c r="AI300" s="8"/>
      <c r="AJ300" s="8"/>
      <c r="AK300" s="8"/>
      <c r="AL300" s="8"/>
      <c r="AM300" s="7"/>
      <c r="AN300" s="7"/>
      <c r="AO300" s="7"/>
      <c r="AP300" s="7"/>
    </row>
    <row r="301" spans="1:42">
      <c r="A301" s="8"/>
      <c r="B301" s="8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8"/>
      <c r="AG301" s="8"/>
      <c r="AH301" s="8"/>
      <c r="AI301" s="8"/>
      <c r="AJ301" s="8"/>
      <c r="AK301" s="8"/>
      <c r="AL301" s="8"/>
      <c r="AM301" s="7"/>
      <c r="AN301" s="7"/>
      <c r="AO301" s="7"/>
      <c r="AP301" s="7"/>
    </row>
    <row r="302" spans="1:42">
      <c r="A302" s="8"/>
      <c r="B302" s="8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8"/>
      <c r="AG302" s="8"/>
      <c r="AH302" s="8"/>
      <c r="AI302" s="8"/>
      <c r="AJ302" s="8"/>
      <c r="AK302" s="8"/>
      <c r="AL302" s="8"/>
      <c r="AM302" s="7"/>
      <c r="AN302" s="7"/>
      <c r="AO302" s="7"/>
      <c r="AP302" s="7"/>
    </row>
    <row r="303" spans="1:42">
      <c r="A303" s="8"/>
      <c r="B303" s="8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8"/>
      <c r="AG303" s="8"/>
      <c r="AH303" s="8"/>
      <c r="AI303" s="8"/>
      <c r="AJ303" s="8"/>
      <c r="AK303" s="8"/>
      <c r="AL303" s="8"/>
      <c r="AM303" s="7"/>
      <c r="AN303" s="7"/>
      <c r="AO303" s="7"/>
      <c r="AP303" s="7"/>
    </row>
    <row r="304" spans="1:42">
      <c r="A304" s="8"/>
      <c r="B304" s="8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8"/>
      <c r="AG304" s="8"/>
      <c r="AH304" s="8"/>
      <c r="AI304" s="8"/>
      <c r="AJ304" s="8"/>
      <c r="AK304" s="8"/>
      <c r="AL304" s="8"/>
      <c r="AM304" s="7"/>
      <c r="AN304" s="7"/>
      <c r="AO304" s="7"/>
      <c r="AP304" s="7"/>
    </row>
    <row r="305" spans="1:42">
      <c r="A305" s="8"/>
      <c r="B305" s="8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8"/>
      <c r="AG305" s="8"/>
      <c r="AH305" s="8"/>
      <c r="AI305" s="8"/>
      <c r="AJ305" s="8"/>
      <c r="AK305" s="8"/>
      <c r="AL305" s="8"/>
      <c r="AM305" s="7"/>
      <c r="AN305" s="7"/>
      <c r="AO305" s="7"/>
      <c r="AP305" s="7"/>
    </row>
    <row r="306" spans="1:42">
      <c r="A306" s="8"/>
      <c r="B306" s="8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8"/>
      <c r="AG306" s="8"/>
      <c r="AH306" s="8"/>
      <c r="AI306" s="8"/>
      <c r="AJ306" s="8"/>
      <c r="AK306" s="8"/>
      <c r="AL306" s="8"/>
      <c r="AM306" s="7"/>
      <c r="AN306" s="7"/>
      <c r="AO306" s="7"/>
      <c r="AP306" s="7"/>
    </row>
    <row r="307" spans="1:42">
      <c r="A307" s="8"/>
      <c r="B307" s="8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8"/>
      <c r="AG307" s="8"/>
      <c r="AH307" s="8"/>
      <c r="AI307" s="8"/>
      <c r="AJ307" s="8"/>
      <c r="AK307" s="8"/>
      <c r="AL307" s="8"/>
      <c r="AM307" s="7"/>
      <c r="AN307" s="7"/>
      <c r="AO307" s="7"/>
      <c r="AP307" s="7"/>
    </row>
    <row r="308" spans="1:42">
      <c r="A308" s="8"/>
      <c r="B308" s="8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8"/>
      <c r="AG308" s="8"/>
      <c r="AH308" s="8"/>
      <c r="AI308" s="8"/>
      <c r="AJ308" s="8"/>
      <c r="AK308" s="8"/>
      <c r="AL308" s="8"/>
      <c r="AM308" s="7"/>
      <c r="AN308" s="7"/>
      <c r="AO308" s="7"/>
      <c r="AP308" s="7"/>
    </row>
    <row r="309" spans="1:42">
      <c r="A309" s="8"/>
      <c r="B309" s="8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8"/>
      <c r="AG309" s="8"/>
      <c r="AH309" s="8"/>
      <c r="AI309" s="8"/>
      <c r="AJ309" s="8"/>
      <c r="AK309" s="8"/>
      <c r="AL309" s="8"/>
      <c r="AM309" s="7"/>
      <c r="AN309" s="7"/>
      <c r="AO309" s="7"/>
      <c r="AP309" s="7"/>
    </row>
    <row r="310" spans="1:42">
      <c r="A310" s="8"/>
      <c r="B310" s="8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8"/>
      <c r="AG310" s="8"/>
      <c r="AH310" s="8"/>
      <c r="AI310" s="8"/>
      <c r="AJ310" s="8"/>
      <c r="AK310" s="8"/>
      <c r="AL310" s="8"/>
      <c r="AM310" s="7"/>
      <c r="AN310" s="7"/>
      <c r="AO310" s="7"/>
      <c r="AP310" s="7"/>
    </row>
    <row r="311" spans="1:42">
      <c r="A311" s="8"/>
      <c r="B311" s="8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8"/>
      <c r="AG311" s="8"/>
      <c r="AH311" s="8"/>
      <c r="AI311" s="8"/>
      <c r="AJ311" s="8"/>
      <c r="AK311" s="8"/>
      <c r="AL311" s="8"/>
      <c r="AM311" s="7"/>
      <c r="AN311" s="7"/>
      <c r="AO311" s="7"/>
      <c r="AP311" s="7"/>
    </row>
    <row r="312" spans="1:42">
      <c r="A312" s="8"/>
      <c r="B312" s="8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8"/>
      <c r="AG312" s="8"/>
      <c r="AH312" s="8"/>
      <c r="AI312" s="8"/>
      <c r="AJ312" s="8"/>
      <c r="AK312" s="8"/>
      <c r="AL312" s="8"/>
      <c r="AM312" s="7"/>
      <c r="AN312" s="7"/>
      <c r="AO312" s="7"/>
      <c r="AP312" s="7"/>
    </row>
    <row r="313" spans="1:42">
      <c r="A313" s="8"/>
      <c r="B313" s="8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8"/>
      <c r="AG313" s="8"/>
      <c r="AH313" s="8"/>
      <c r="AI313" s="8"/>
      <c r="AJ313" s="8"/>
      <c r="AK313" s="8"/>
      <c r="AL313" s="8"/>
      <c r="AM313" s="7"/>
      <c r="AN313" s="7"/>
      <c r="AO313" s="7"/>
      <c r="AP313" s="7"/>
    </row>
    <row r="314" spans="1:42">
      <c r="A314" s="8"/>
      <c r="B314" s="8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8"/>
      <c r="AG314" s="8"/>
      <c r="AH314" s="8"/>
      <c r="AI314" s="8"/>
      <c r="AJ314" s="8"/>
      <c r="AK314" s="8"/>
      <c r="AL314" s="8"/>
      <c r="AM314" s="7"/>
      <c r="AN314" s="7"/>
      <c r="AO314" s="7"/>
      <c r="AP314" s="7"/>
    </row>
    <row r="315" spans="1:42">
      <c r="A315" s="8"/>
      <c r="B315" s="8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8"/>
      <c r="AG315" s="8"/>
      <c r="AH315" s="8"/>
      <c r="AI315" s="8"/>
      <c r="AJ315" s="8"/>
      <c r="AK315" s="8"/>
      <c r="AL315" s="8"/>
      <c r="AM315" s="7"/>
      <c r="AN315" s="7"/>
      <c r="AO315" s="7"/>
      <c r="AP315" s="7"/>
    </row>
    <row r="316" spans="1:42">
      <c r="A316" s="8"/>
      <c r="B316" s="8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8"/>
      <c r="AG316" s="8"/>
      <c r="AH316" s="8"/>
      <c r="AI316" s="8"/>
      <c r="AJ316" s="8"/>
      <c r="AK316" s="8"/>
      <c r="AL316" s="8"/>
      <c r="AM316" s="7"/>
      <c r="AN316" s="7"/>
      <c r="AO316" s="7"/>
      <c r="AP316" s="7"/>
    </row>
    <row r="317" spans="1:42">
      <c r="A317" s="8"/>
      <c r="B317" s="8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8"/>
      <c r="AG317" s="8"/>
      <c r="AH317" s="8"/>
      <c r="AI317" s="8"/>
      <c r="AJ317" s="8"/>
      <c r="AK317" s="8"/>
      <c r="AL317" s="8"/>
      <c r="AM317" s="7"/>
      <c r="AN317" s="7"/>
      <c r="AO317" s="7"/>
      <c r="AP317" s="7"/>
    </row>
    <row r="318" spans="1:42">
      <c r="A318" s="8"/>
      <c r="B318" s="8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8"/>
      <c r="AG318" s="8"/>
      <c r="AH318" s="8"/>
      <c r="AI318" s="8"/>
      <c r="AJ318" s="8"/>
      <c r="AK318" s="8"/>
      <c r="AL318" s="8"/>
      <c r="AM318" s="7"/>
      <c r="AN318" s="7"/>
      <c r="AO318" s="7"/>
      <c r="AP318" s="7"/>
    </row>
    <row r="319" spans="1:42">
      <c r="A319" s="8"/>
      <c r="B319" s="8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8"/>
      <c r="AG319" s="8"/>
      <c r="AH319" s="8"/>
      <c r="AI319" s="8"/>
      <c r="AJ319" s="8"/>
      <c r="AK319" s="8"/>
      <c r="AL319" s="8"/>
      <c r="AM319" s="7"/>
      <c r="AN319" s="7"/>
      <c r="AO319" s="7"/>
      <c r="AP319" s="7"/>
    </row>
    <row r="320" spans="1:42">
      <c r="A320" s="8"/>
      <c r="B320" s="8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8"/>
      <c r="AG320" s="8"/>
      <c r="AH320" s="8"/>
      <c r="AI320" s="8"/>
      <c r="AJ320" s="8"/>
      <c r="AK320" s="8"/>
      <c r="AL320" s="8"/>
      <c r="AM320" s="7"/>
      <c r="AN320" s="7"/>
      <c r="AO320" s="7"/>
      <c r="AP320" s="7"/>
    </row>
    <row r="321" spans="1:42">
      <c r="A321" s="8"/>
      <c r="B321" s="8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8"/>
      <c r="AG321" s="8"/>
      <c r="AH321" s="8"/>
      <c r="AI321" s="8"/>
      <c r="AJ321" s="8"/>
      <c r="AK321" s="8"/>
      <c r="AL321" s="8"/>
      <c r="AM321" s="7"/>
      <c r="AN321" s="7"/>
      <c r="AO321" s="7"/>
      <c r="AP321" s="7"/>
    </row>
    <row r="322" spans="1:42">
      <c r="A322" s="8"/>
      <c r="B322" s="8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8"/>
      <c r="AG322" s="8"/>
      <c r="AH322" s="8"/>
      <c r="AI322" s="8"/>
      <c r="AJ322" s="8"/>
      <c r="AK322" s="8"/>
      <c r="AL322" s="8"/>
      <c r="AM322" s="7"/>
      <c r="AN322" s="7"/>
      <c r="AO322" s="7"/>
      <c r="AP322" s="7"/>
    </row>
    <row r="323" spans="1:42">
      <c r="A323" s="8"/>
      <c r="B323" s="8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8"/>
      <c r="AG323" s="8"/>
      <c r="AH323" s="8"/>
      <c r="AI323" s="8"/>
      <c r="AJ323" s="8"/>
      <c r="AK323" s="8"/>
      <c r="AL323" s="8"/>
      <c r="AM323" s="7"/>
      <c r="AN323" s="7"/>
      <c r="AO323" s="7"/>
      <c r="AP323" s="7"/>
    </row>
    <row r="324" spans="1:42">
      <c r="A324" s="8"/>
      <c r="B324" s="8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8"/>
      <c r="AG324" s="8"/>
      <c r="AH324" s="8"/>
      <c r="AI324" s="8"/>
      <c r="AJ324" s="8"/>
      <c r="AK324" s="8"/>
      <c r="AL324" s="8"/>
      <c r="AM324" s="7"/>
      <c r="AN324" s="7"/>
      <c r="AO324" s="7"/>
      <c r="AP324" s="7"/>
    </row>
    <row r="325" spans="1:42">
      <c r="A325" s="8"/>
      <c r="B325" s="8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8"/>
      <c r="AG325" s="8"/>
      <c r="AH325" s="8"/>
      <c r="AI325" s="8"/>
      <c r="AJ325" s="8"/>
      <c r="AK325" s="8"/>
      <c r="AL325" s="8"/>
      <c r="AM325" s="7"/>
      <c r="AN325" s="7"/>
      <c r="AO325" s="7"/>
      <c r="AP325" s="7"/>
    </row>
    <row r="326" spans="1:42">
      <c r="A326" s="8"/>
      <c r="B326" s="8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8"/>
      <c r="AG326" s="8"/>
      <c r="AH326" s="8"/>
      <c r="AI326" s="8"/>
      <c r="AJ326" s="8"/>
      <c r="AK326" s="8"/>
      <c r="AL326" s="8"/>
      <c r="AM326" s="7"/>
      <c r="AN326" s="7"/>
      <c r="AO326" s="7"/>
      <c r="AP326" s="7"/>
    </row>
    <row r="327" spans="1:42">
      <c r="A327" s="8"/>
      <c r="B327" s="8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8"/>
      <c r="AG327" s="8"/>
      <c r="AH327" s="8"/>
      <c r="AI327" s="8"/>
      <c r="AJ327" s="8"/>
      <c r="AK327" s="8"/>
      <c r="AL327" s="8"/>
      <c r="AM327" s="7"/>
      <c r="AN327" s="7"/>
      <c r="AO327" s="7"/>
      <c r="AP327" s="7"/>
    </row>
    <row r="328" spans="1:42">
      <c r="A328" s="8"/>
      <c r="B328" s="8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8"/>
      <c r="AG328" s="8"/>
      <c r="AH328" s="8"/>
      <c r="AI328" s="8"/>
      <c r="AJ328" s="8"/>
      <c r="AK328" s="8"/>
      <c r="AL328" s="8"/>
      <c r="AM328" s="7"/>
      <c r="AN328" s="7"/>
      <c r="AO328" s="7"/>
      <c r="AP328" s="7"/>
    </row>
    <row r="329" spans="1:42">
      <c r="A329" s="8"/>
      <c r="B329" s="8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8"/>
      <c r="AG329" s="8"/>
      <c r="AH329" s="8"/>
      <c r="AI329" s="8"/>
      <c r="AJ329" s="8"/>
      <c r="AK329" s="8"/>
      <c r="AL329" s="8"/>
      <c r="AM329" s="7"/>
      <c r="AN329" s="7"/>
      <c r="AO329" s="7"/>
      <c r="AP329" s="7"/>
    </row>
    <row r="330" spans="1:42">
      <c r="A330" s="8"/>
      <c r="B330" s="8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8"/>
      <c r="AG330" s="8"/>
      <c r="AH330" s="8"/>
      <c r="AI330" s="8"/>
      <c r="AJ330" s="8"/>
      <c r="AK330" s="8"/>
      <c r="AL330" s="8"/>
      <c r="AM330" s="7"/>
      <c r="AN330" s="7"/>
      <c r="AO330" s="7"/>
      <c r="AP330" s="7"/>
    </row>
    <row r="331" spans="1:42">
      <c r="A331" s="8"/>
      <c r="B331" s="8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8"/>
      <c r="AG331" s="8"/>
      <c r="AH331" s="8"/>
      <c r="AI331" s="8"/>
      <c r="AJ331" s="8"/>
      <c r="AK331" s="8"/>
      <c r="AL331" s="8"/>
      <c r="AM331" s="7"/>
      <c r="AN331" s="7"/>
      <c r="AO331" s="7"/>
      <c r="AP331" s="7"/>
    </row>
    <row r="332" spans="1:42">
      <c r="A332" s="8"/>
      <c r="B332" s="8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8"/>
      <c r="AG332" s="8"/>
      <c r="AH332" s="8"/>
      <c r="AI332" s="8"/>
      <c r="AJ332" s="8"/>
      <c r="AK332" s="8"/>
      <c r="AL332" s="8"/>
      <c r="AM332" s="7"/>
      <c r="AN332" s="7"/>
      <c r="AO332" s="7"/>
      <c r="AP332" s="7"/>
    </row>
    <row r="333" spans="1:42">
      <c r="A333" s="8"/>
      <c r="B333" s="8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8"/>
      <c r="AG333" s="8"/>
      <c r="AH333" s="8"/>
      <c r="AI333" s="8"/>
      <c r="AJ333" s="8"/>
      <c r="AK333" s="8"/>
      <c r="AL333" s="8"/>
      <c r="AM333" s="7"/>
      <c r="AN333" s="7"/>
      <c r="AO333" s="7"/>
      <c r="AP333" s="7"/>
    </row>
    <row r="334" spans="1:42">
      <c r="A334" s="8"/>
      <c r="B334" s="8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8"/>
      <c r="AG334" s="8"/>
      <c r="AH334" s="8"/>
      <c r="AI334" s="8"/>
      <c r="AJ334" s="8"/>
      <c r="AK334" s="8"/>
      <c r="AL334" s="8"/>
      <c r="AM334" s="7"/>
      <c r="AN334" s="7"/>
      <c r="AO334" s="7"/>
      <c r="AP334" s="7"/>
    </row>
    <row r="335" spans="1:42">
      <c r="A335" s="8"/>
      <c r="B335" s="8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8"/>
      <c r="AG335" s="8"/>
      <c r="AH335" s="8"/>
      <c r="AI335" s="8"/>
      <c r="AJ335" s="8"/>
      <c r="AK335" s="8"/>
      <c r="AL335" s="8"/>
      <c r="AM335" s="7"/>
      <c r="AN335" s="7"/>
      <c r="AO335" s="7"/>
      <c r="AP335" s="7"/>
    </row>
    <row r="336" spans="1:42">
      <c r="A336" s="8"/>
      <c r="B336" s="8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8"/>
      <c r="AG336" s="8"/>
      <c r="AH336" s="8"/>
      <c r="AI336" s="8"/>
      <c r="AJ336" s="8"/>
      <c r="AK336" s="8"/>
      <c r="AL336" s="8"/>
      <c r="AM336" s="7"/>
      <c r="AN336" s="7"/>
      <c r="AO336" s="7"/>
      <c r="AP336" s="7"/>
    </row>
    <row r="337" spans="1:42">
      <c r="A337" s="8"/>
      <c r="B337" s="8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8"/>
      <c r="AG337" s="8"/>
      <c r="AH337" s="8"/>
      <c r="AI337" s="8"/>
      <c r="AJ337" s="8"/>
      <c r="AK337" s="8"/>
      <c r="AL337" s="8"/>
      <c r="AM337" s="7"/>
      <c r="AN337" s="7"/>
      <c r="AO337" s="7"/>
      <c r="AP337" s="7"/>
    </row>
    <row r="338" spans="1:42">
      <c r="A338" s="8"/>
      <c r="B338" s="8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8"/>
      <c r="AG338" s="8"/>
      <c r="AH338" s="8"/>
      <c r="AI338" s="8"/>
      <c r="AJ338" s="8"/>
      <c r="AK338" s="8"/>
      <c r="AL338" s="8"/>
      <c r="AM338" s="7"/>
      <c r="AN338" s="7"/>
      <c r="AO338" s="7"/>
      <c r="AP338" s="7"/>
    </row>
    <row r="339" spans="1:42">
      <c r="A339" s="8"/>
      <c r="B339" s="8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8"/>
      <c r="AG339" s="8"/>
      <c r="AH339" s="8"/>
      <c r="AI339" s="8"/>
      <c r="AJ339" s="8"/>
      <c r="AK339" s="8"/>
      <c r="AL339" s="8"/>
      <c r="AM339" s="7"/>
      <c r="AN339" s="7"/>
      <c r="AO339" s="7"/>
      <c r="AP339" s="7"/>
    </row>
    <row r="340" spans="1:42">
      <c r="A340" s="8"/>
      <c r="B340" s="8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8"/>
      <c r="AG340" s="8"/>
      <c r="AH340" s="8"/>
      <c r="AI340" s="8"/>
      <c r="AJ340" s="8"/>
      <c r="AK340" s="8"/>
      <c r="AL340" s="8"/>
      <c r="AM340" s="7"/>
      <c r="AN340" s="7"/>
      <c r="AO340" s="7"/>
      <c r="AP340" s="7"/>
    </row>
    <row r="341" spans="1:42">
      <c r="A341" s="8"/>
      <c r="B341" s="8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8"/>
      <c r="AG341" s="8"/>
      <c r="AH341" s="8"/>
      <c r="AI341" s="8"/>
      <c r="AJ341" s="8"/>
      <c r="AK341" s="8"/>
      <c r="AL341" s="8"/>
      <c r="AM341" s="7"/>
      <c r="AN341" s="7"/>
      <c r="AO341" s="7"/>
      <c r="AP341" s="7"/>
    </row>
    <row r="342" spans="1:42">
      <c r="A342" s="8"/>
      <c r="B342" s="8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8"/>
      <c r="AG342" s="8"/>
      <c r="AH342" s="8"/>
      <c r="AI342" s="8"/>
      <c r="AJ342" s="8"/>
      <c r="AK342" s="8"/>
      <c r="AL342" s="8"/>
      <c r="AM342" s="7"/>
      <c r="AN342" s="7"/>
      <c r="AO342" s="7"/>
      <c r="AP342" s="7"/>
    </row>
    <row r="343" spans="1:42">
      <c r="A343" s="8"/>
      <c r="B343" s="8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8"/>
      <c r="AG343" s="8"/>
      <c r="AH343" s="8"/>
      <c r="AI343" s="8"/>
      <c r="AJ343" s="8"/>
      <c r="AK343" s="8"/>
      <c r="AL343" s="8"/>
      <c r="AM343" s="7"/>
      <c r="AN343" s="7"/>
      <c r="AO343" s="7"/>
      <c r="AP343" s="7"/>
    </row>
    <row r="344" spans="1:42">
      <c r="A344" s="8"/>
      <c r="B344" s="8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8"/>
      <c r="AG344" s="8"/>
      <c r="AH344" s="8"/>
      <c r="AI344" s="8"/>
      <c r="AJ344" s="8"/>
      <c r="AK344" s="8"/>
      <c r="AL344" s="8"/>
      <c r="AM344" s="7"/>
      <c r="AN344" s="7"/>
      <c r="AO344" s="7"/>
      <c r="AP344" s="7"/>
    </row>
    <row r="345" spans="1:42">
      <c r="A345" s="8"/>
      <c r="B345" s="8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8"/>
      <c r="AG345" s="8"/>
      <c r="AH345" s="8"/>
      <c r="AI345" s="8"/>
      <c r="AJ345" s="8"/>
      <c r="AK345" s="8"/>
      <c r="AL345" s="8"/>
      <c r="AM345" s="7"/>
      <c r="AN345" s="7"/>
      <c r="AO345" s="7"/>
      <c r="AP345" s="7"/>
    </row>
    <row r="346" spans="1:42">
      <c r="A346" s="8"/>
      <c r="B346" s="8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8"/>
      <c r="AG346" s="8"/>
      <c r="AH346" s="8"/>
      <c r="AI346" s="8"/>
      <c r="AJ346" s="8"/>
      <c r="AK346" s="8"/>
      <c r="AL346" s="8"/>
      <c r="AM346" s="7"/>
      <c r="AN346" s="7"/>
      <c r="AO346" s="7"/>
      <c r="AP346" s="7"/>
    </row>
    <row r="347" spans="1:42">
      <c r="A347" s="8"/>
      <c r="B347" s="8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8"/>
      <c r="AG347" s="8"/>
      <c r="AH347" s="8"/>
      <c r="AI347" s="8"/>
      <c r="AJ347" s="8"/>
      <c r="AK347" s="8"/>
      <c r="AL347" s="8"/>
      <c r="AM347" s="7"/>
      <c r="AN347" s="7"/>
      <c r="AO347" s="7"/>
      <c r="AP347" s="7"/>
    </row>
    <row r="348" spans="1:42">
      <c r="A348" s="8"/>
      <c r="B348" s="8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8"/>
      <c r="AG348" s="8"/>
      <c r="AH348" s="8"/>
      <c r="AI348" s="8"/>
      <c r="AJ348" s="8"/>
      <c r="AK348" s="8"/>
      <c r="AL348" s="8"/>
      <c r="AM348" s="7"/>
      <c r="AN348" s="7"/>
      <c r="AO348" s="7"/>
      <c r="AP348" s="7"/>
    </row>
    <row r="349" spans="1:42">
      <c r="A349" s="8"/>
      <c r="B349" s="8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8"/>
      <c r="AG349" s="8"/>
      <c r="AH349" s="8"/>
      <c r="AI349" s="8"/>
      <c r="AJ349" s="8"/>
      <c r="AK349" s="8"/>
      <c r="AL349" s="8"/>
      <c r="AM349" s="7"/>
      <c r="AN349" s="7"/>
      <c r="AO349" s="7"/>
      <c r="AP349" s="7"/>
    </row>
    <row r="350" spans="1:42">
      <c r="A350" s="8"/>
      <c r="B350" s="8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8"/>
      <c r="AG350" s="8"/>
      <c r="AH350" s="8"/>
      <c r="AI350" s="8"/>
      <c r="AJ350" s="8"/>
      <c r="AK350" s="8"/>
      <c r="AL350" s="8"/>
      <c r="AM350" s="7"/>
      <c r="AN350" s="7"/>
      <c r="AO350" s="7"/>
      <c r="AP350" s="7"/>
    </row>
    <row r="351" spans="1:42">
      <c r="A351" s="8"/>
      <c r="B351" s="8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8"/>
      <c r="AG351" s="8"/>
      <c r="AH351" s="8"/>
      <c r="AI351" s="8"/>
      <c r="AJ351" s="8"/>
      <c r="AK351" s="8"/>
      <c r="AL351" s="8"/>
      <c r="AM351" s="7"/>
      <c r="AN351" s="7"/>
      <c r="AO351" s="7"/>
      <c r="AP351" s="7"/>
    </row>
    <row r="352" spans="1:42">
      <c r="A352" s="8"/>
      <c r="B352" s="8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8"/>
      <c r="AG352" s="8"/>
      <c r="AH352" s="8"/>
      <c r="AI352" s="8"/>
      <c r="AJ352" s="8"/>
      <c r="AK352" s="8"/>
      <c r="AL352" s="8"/>
      <c r="AM352" s="7"/>
      <c r="AN352" s="7"/>
      <c r="AO352" s="7"/>
      <c r="AP352" s="7"/>
    </row>
    <row r="353" spans="1:42">
      <c r="A353" s="8"/>
      <c r="B353" s="8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8"/>
      <c r="AG353" s="8"/>
      <c r="AH353" s="8"/>
      <c r="AI353" s="8"/>
      <c r="AJ353" s="8"/>
      <c r="AK353" s="8"/>
      <c r="AL353" s="8"/>
      <c r="AM353" s="7"/>
      <c r="AN353" s="7"/>
      <c r="AO353" s="7"/>
      <c r="AP353" s="7"/>
    </row>
    <row r="354" spans="1:42">
      <c r="A354" s="8"/>
      <c r="B354" s="8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8"/>
      <c r="AG354" s="8"/>
      <c r="AH354" s="8"/>
      <c r="AI354" s="8"/>
      <c r="AJ354" s="8"/>
      <c r="AK354" s="8"/>
      <c r="AL354" s="8"/>
      <c r="AM354" s="7"/>
      <c r="AN354" s="7"/>
      <c r="AO354" s="7"/>
      <c r="AP354" s="7"/>
    </row>
    <row r="355" spans="1:42">
      <c r="A355" s="8"/>
      <c r="B355" s="8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8"/>
      <c r="AG355" s="8"/>
      <c r="AH355" s="8"/>
      <c r="AI355" s="8"/>
      <c r="AJ355" s="8"/>
      <c r="AK355" s="8"/>
      <c r="AL355" s="8"/>
      <c r="AM355" s="7"/>
      <c r="AN355" s="7"/>
      <c r="AO355" s="7"/>
      <c r="AP355" s="7"/>
    </row>
    <row r="356" spans="1:42">
      <c r="A356" s="8"/>
      <c r="B356" s="8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8"/>
      <c r="AG356" s="8"/>
      <c r="AH356" s="8"/>
      <c r="AI356" s="8"/>
      <c r="AJ356" s="8"/>
      <c r="AK356" s="8"/>
      <c r="AL356" s="8"/>
      <c r="AM356" s="7"/>
      <c r="AN356" s="7"/>
      <c r="AO356" s="7"/>
      <c r="AP356" s="7"/>
    </row>
    <row r="357" spans="1:42">
      <c r="A357" s="8"/>
      <c r="B357" s="8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8"/>
      <c r="AG357" s="8"/>
      <c r="AH357" s="8"/>
      <c r="AI357" s="8"/>
      <c r="AJ357" s="8"/>
      <c r="AK357" s="8"/>
      <c r="AL357" s="8"/>
      <c r="AM357" s="7"/>
      <c r="AN357" s="7"/>
      <c r="AO357" s="7"/>
      <c r="AP357" s="7"/>
    </row>
    <row r="358" spans="1:42">
      <c r="A358" s="8"/>
      <c r="B358" s="8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8"/>
      <c r="AG358" s="8"/>
      <c r="AH358" s="8"/>
      <c r="AI358" s="8"/>
      <c r="AJ358" s="8"/>
      <c r="AK358" s="8"/>
      <c r="AL358" s="8"/>
      <c r="AM358" s="7"/>
      <c r="AN358" s="7"/>
      <c r="AO358" s="7"/>
      <c r="AP358" s="7"/>
    </row>
    <row r="359" spans="1:42">
      <c r="A359" s="8"/>
      <c r="B359" s="8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8"/>
      <c r="AG359" s="8"/>
      <c r="AH359" s="8"/>
      <c r="AI359" s="8"/>
      <c r="AJ359" s="8"/>
      <c r="AK359" s="8"/>
      <c r="AL359" s="8"/>
      <c r="AM359" s="7"/>
      <c r="AN359" s="7"/>
      <c r="AO359" s="7"/>
      <c r="AP359" s="7"/>
    </row>
    <row r="360" spans="1:42">
      <c r="A360" s="8"/>
      <c r="B360" s="8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8"/>
      <c r="AG360" s="8"/>
      <c r="AH360" s="8"/>
      <c r="AI360" s="8"/>
      <c r="AJ360" s="8"/>
      <c r="AK360" s="8"/>
      <c r="AL360" s="8"/>
      <c r="AM360" s="7"/>
      <c r="AN360" s="7"/>
      <c r="AO360" s="7"/>
      <c r="AP360" s="7"/>
    </row>
    <row r="361" spans="1:42">
      <c r="A361" s="8"/>
      <c r="B361" s="8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8"/>
      <c r="AG361" s="8"/>
      <c r="AH361" s="8"/>
      <c r="AI361" s="8"/>
      <c r="AJ361" s="8"/>
      <c r="AK361" s="8"/>
      <c r="AL361" s="8"/>
      <c r="AM361" s="7"/>
      <c r="AN361" s="7"/>
      <c r="AO361" s="7"/>
      <c r="AP361" s="7"/>
    </row>
    <row r="362" spans="1:42">
      <c r="A362" s="8"/>
      <c r="B362" s="8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8"/>
      <c r="AG362" s="8"/>
      <c r="AH362" s="8"/>
      <c r="AI362" s="8"/>
      <c r="AJ362" s="8"/>
      <c r="AK362" s="8"/>
      <c r="AL362" s="8"/>
      <c r="AM362" s="7"/>
      <c r="AN362" s="7"/>
      <c r="AO362" s="7"/>
      <c r="AP362" s="7"/>
    </row>
    <row r="363" spans="1:42">
      <c r="A363" s="8"/>
      <c r="B363" s="8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8"/>
      <c r="AG363" s="8"/>
      <c r="AH363" s="8"/>
      <c r="AI363" s="8"/>
      <c r="AJ363" s="8"/>
      <c r="AK363" s="8"/>
      <c r="AL363" s="8"/>
      <c r="AM363" s="7"/>
      <c r="AN363" s="7"/>
      <c r="AO363" s="7"/>
      <c r="AP363" s="7"/>
    </row>
    <row r="364" spans="1:42">
      <c r="A364" s="8"/>
      <c r="B364" s="8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8"/>
      <c r="AG364" s="8"/>
      <c r="AH364" s="8"/>
      <c r="AI364" s="8"/>
      <c r="AJ364" s="8"/>
      <c r="AK364" s="8"/>
      <c r="AL364" s="8"/>
      <c r="AM364" s="7"/>
      <c r="AN364" s="7"/>
      <c r="AO364" s="7"/>
      <c r="AP364" s="7"/>
    </row>
    <row r="365" spans="1:42">
      <c r="A365" s="8"/>
      <c r="B365" s="8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8"/>
      <c r="AG365" s="8"/>
      <c r="AH365" s="8"/>
      <c r="AI365" s="8"/>
      <c r="AJ365" s="8"/>
      <c r="AK365" s="8"/>
      <c r="AL365" s="8"/>
      <c r="AM365" s="7"/>
      <c r="AN365" s="7"/>
      <c r="AO365" s="7"/>
      <c r="AP365" s="7"/>
    </row>
    <row r="366" spans="1:42">
      <c r="A366" s="8"/>
      <c r="B366" s="8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8"/>
      <c r="AG366" s="8"/>
      <c r="AH366" s="8"/>
      <c r="AI366" s="8"/>
      <c r="AJ366" s="8"/>
      <c r="AK366" s="8"/>
      <c r="AL366" s="8"/>
      <c r="AM366" s="7"/>
      <c r="AN366" s="7"/>
      <c r="AO366" s="7"/>
      <c r="AP366" s="7"/>
    </row>
    <row r="367" spans="1:42">
      <c r="A367" s="8"/>
      <c r="B367" s="8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8"/>
      <c r="AG367" s="8"/>
      <c r="AH367" s="8"/>
      <c r="AI367" s="8"/>
      <c r="AJ367" s="8"/>
      <c r="AK367" s="8"/>
      <c r="AL367" s="8"/>
      <c r="AM367" s="7"/>
      <c r="AN367" s="7"/>
      <c r="AO367" s="7"/>
      <c r="AP367" s="7"/>
    </row>
    <row r="368" spans="1:42">
      <c r="A368" s="8"/>
      <c r="B368" s="8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8"/>
      <c r="AG368" s="8"/>
      <c r="AH368" s="8"/>
      <c r="AI368" s="8"/>
      <c r="AJ368" s="8"/>
      <c r="AK368" s="8"/>
      <c r="AL368" s="8"/>
      <c r="AM368" s="7"/>
      <c r="AN368" s="7"/>
      <c r="AO368" s="7"/>
      <c r="AP368" s="7"/>
    </row>
    <row r="369" spans="1:42">
      <c r="A369" s="8"/>
      <c r="B369" s="8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8"/>
      <c r="AG369" s="8"/>
      <c r="AH369" s="8"/>
      <c r="AI369" s="8"/>
      <c r="AJ369" s="8"/>
      <c r="AK369" s="8"/>
      <c r="AL369" s="8"/>
      <c r="AM369" s="7"/>
      <c r="AN369" s="7"/>
      <c r="AO369" s="7"/>
      <c r="AP369" s="7"/>
    </row>
    <row r="370" spans="1:42">
      <c r="A370" s="8"/>
      <c r="B370" s="8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8"/>
      <c r="AG370" s="8"/>
      <c r="AH370" s="8"/>
      <c r="AI370" s="8"/>
      <c r="AJ370" s="8"/>
      <c r="AK370" s="8"/>
      <c r="AL370" s="8"/>
      <c r="AM370" s="7"/>
      <c r="AN370" s="7"/>
      <c r="AO370" s="7"/>
      <c r="AP370" s="7"/>
    </row>
    <row r="371" spans="1:42">
      <c r="A371" s="8"/>
      <c r="B371" s="8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8"/>
      <c r="AG371" s="8"/>
      <c r="AH371" s="8"/>
      <c r="AI371" s="8"/>
      <c r="AJ371" s="8"/>
      <c r="AK371" s="8"/>
      <c r="AL371" s="8"/>
      <c r="AM371" s="7"/>
      <c r="AN371" s="7"/>
      <c r="AO371" s="7"/>
      <c r="AP371" s="7"/>
    </row>
    <row r="372" spans="1:42">
      <c r="A372" s="8"/>
      <c r="B372" s="8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8"/>
      <c r="AG372" s="8"/>
      <c r="AH372" s="8"/>
      <c r="AI372" s="8"/>
      <c r="AJ372" s="8"/>
      <c r="AK372" s="8"/>
      <c r="AL372" s="8"/>
      <c r="AM372" s="7"/>
      <c r="AN372" s="7"/>
      <c r="AO372" s="7"/>
      <c r="AP372" s="7"/>
    </row>
    <row r="373" spans="1:42">
      <c r="A373" s="8"/>
      <c r="B373" s="8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8"/>
      <c r="AG373" s="8"/>
      <c r="AH373" s="8"/>
      <c r="AI373" s="8"/>
      <c r="AJ373" s="8"/>
      <c r="AK373" s="8"/>
      <c r="AL373" s="8"/>
      <c r="AM373" s="7"/>
      <c r="AN373" s="7"/>
      <c r="AO373" s="7"/>
      <c r="AP373" s="7"/>
    </row>
    <row r="374" spans="1:42">
      <c r="A374" s="8"/>
      <c r="B374" s="8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8"/>
      <c r="AG374" s="8"/>
      <c r="AH374" s="8"/>
      <c r="AI374" s="8"/>
      <c r="AJ374" s="8"/>
      <c r="AK374" s="8"/>
      <c r="AL374" s="8"/>
      <c r="AM374" s="7"/>
      <c r="AN374" s="7"/>
      <c r="AO374" s="7"/>
      <c r="AP374" s="7"/>
    </row>
    <row r="375" spans="1:42">
      <c r="A375" s="8"/>
      <c r="B375" s="8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8"/>
      <c r="AG375" s="8"/>
      <c r="AH375" s="8"/>
      <c r="AI375" s="8"/>
      <c r="AJ375" s="8"/>
      <c r="AK375" s="8"/>
      <c r="AL375" s="8"/>
      <c r="AM375" s="7"/>
      <c r="AN375" s="7"/>
      <c r="AO375" s="7"/>
      <c r="AP375" s="7"/>
    </row>
    <row r="376" spans="1:42">
      <c r="A376" s="8"/>
      <c r="B376" s="8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8"/>
      <c r="AG376" s="8"/>
      <c r="AH376" s="8"/>
      <c r="AI376" s="8"/>
      <c r="AJ376" s="8"/>
      <c r="AK376" s="8"/>
      <c r="AL376" s="8"/>
      <c r="AM376" s="7"/>
      <c r="AN376" s="7"/>
      <c r="AO376" s="7"/>
      <c r="AP376" s="7"/>
    </row>
    <row r="377" spans="1:42">
      <c r="A377" s="8"/>
      <c r="B377" s="8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8"/>
      <c r="AG377" s="8"/>
      <c r="AH377" s="8"/>
      <c r="AI377" s="8"/>
      <c r="AJ377" s="8"/>
      <c r="AK377" s="8"/>
      <c r="AL377" s="8"/>
      <c r="AM377" s="7"/>
      <c r="AN377" s="7"/>
      <c r="AO377" s="7"/>
      <c r="AP377" s="7"/>
    </row>
    <row r="378" spans="1:42">
      <c r="A378" s="8"/>
      <c r="B378" s="8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8"/>
      <c r="AG378" s="8"/>
      <c r="AH378" s="8"/>
      <c r="AI378" s="8"/>
      <c r="AJ378" s="8"/>
      <c r="AK378" s="8"/>
      <c r="AL378" s="8"/>
      <c r="AM378" s="7"/>
      <c r="AN378" s="7"/>
      <c r="AO378" s="7"/>
      <c r="AP378" s="7"/>
    </row>
    <row r="379" spans="1:42">
      <c r="A379" s="8"/>
      <c r="B379" s="8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8"/>
      <c r="AG379" s="8"/>
      <c r="AH379" s="8"/>
      <c r="AI379" s="8"/>
      <c r="AJ379" s="8"/>
      <c r="AK379" s="8"/>
      <c r="AL379" s="8"/>
      <c r="AM379" s="7"/>
      <c r="AN379" s="7"/>
      <c r="AO379" s="7"/>
      <c r="AP379" s="7"/>
    </row>
    <row r="380" spans="1:42">
      <c r="A380" s="8"/>
      <c r="B380" s="8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8"/>
      <c r="AG380" s="8"/>
      <c r="AH380" s="8"/>
      <c r="AI380" s="8"/>
      <c r="AJ380" s="8"/>
      <c r="AK380" s="8"/>
      <c r="AL380" s="8"/>
      <c r="AM380" s="7"/>
      <c r="AN380" s="7"/>
      <c r="AO380" s="7"/>
      <c r="AP380" s="7"/>
    </row>
    <row r="381" spans="1:42">
      <c r="A381" s="8"/>
      <c r="B381" s="8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8"/>
      <c r="AG381" s="8"/>
      <c r="AH381" s="8"/>
      <c r="AI381" s="8"/>
      <c r="AJ381" s="8"/>
      <c r="AK381" s="8"/>
      <c r="AL381" s="8"/>
      <c r="AM381" s="7"/>
      <c r="AN381" s="7"/>
      <c r="AO381" s="7"/>
      <c r="AP381" s="7"/>
    </row>
    <row r="382" spans="1:42">
      <c r="A382" s="8"/>
      <c r="B382" s="8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8"/>
      <c r="AG382" s="8"/>
      <c r="AH382" s="8"/>
      <c r="AI382" s="8"/>
      <c r="AJ382" s="8"/>
      <c r="AK382" s="8"/>
      <c r="AL382" s="8"/>
      <c r="AM382" s="7"/>
      <c r="AN382" s="7"/>
      <c r="AO382" s="7"/>
      <c r="AP382" s="7"/>
    </row>
    <row r="383" spans="1:42">
      <c r="A383" s="8"/>
      <c r="B383" s="8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8"/>
      <c r="AG383" s="8"/>
      <c r="AH383" s="8"/>
      <c r="AI383" s="8"/>
      <c r="AJ383" s="8"/>
      <c r="AK383" s="8"/>
      <c r="AL383" s="8"/>
      <c r="AM383" s="7"/>
      <c r="AN383" s="7"/>
      <c r="AO383" s="7"/>
      <c r="AP383" s="7"/>
    </row>
    <row r="384" spans="1:42">
      <c r="A384" s="8"/>
      <c r="B384" s="8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8"/>
      <c r="AG384" s="8"/>
      <c r="AH384" s="8"/>
      <c r="AI384" s="8"/>
      <c r="AJ384" s="8"/>
      <c r="AK384" s="8"/>
      <c r="AL384" s="8"/>
      <c r="AM384" s="7"/>
      <c r="AN384" s="7"/>
      <c r="AO384" s="7"/>
      <c r="AP384" s="7"/>
    </row>
    <row r="385" spans="1:42">
      <c r="A385" s="8"/>
      <c r="B385" s="8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8"/>
      <c r="AG385" s="8"/>
      <c r="AH385" s="8"/>
      <c r="AI385" s="8"/>
      <c r="AJ385" s="8"/>
      <c r="AK385" s="8"/>
      <c r="AL385" s="8"/>
      <c r="AM385" s="7"/>
      <c r="AN385" s="7"/>
      <c r="AO385" s="7"/>
      <c r="AP385" s="7"/>
    </row>
    <row r="386" spans="1:42">
      <c r="A386" s="8"/>
      <c r="B386" s="8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8"/>
      <c r="AG386" s="8"/>
      <c r="AH386" s="8"/>
      <c r="AI386" s="8"/>
      <c r="AJ386" s="8"/>
      <c r="AK386" s="8"/>
      <c r="AL386" s="8"/>
      <c r="AM386" s="7"/>
      <c r="AN386" s="7"/>
      <c r="AO386" s="7"/>
      <c r="AP386" s="7"/>
    </row>
    <row r="387" spans="1:42">
      <c r="A387" s="8"/>
      <c r="B387" s="8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8"/>
      <c r="AG387" s="8"/>
      <c r="AH387" s="8"/>
      <c r="AI387" s="8"/>
      <c r="AJ387" s="8"/>
      <c r="AK387" s="8"/>
      <c r="AL387" s="8"/>
      <c r="AM387" s="7"/>
      <c r="AN387" s="7"/>
      <c r="AO387" s="7"/>
      <c r="AP387" s="7"/>
    </row>
    <row r="388" spans="1:42">
      <c r="A388" s="8"/>
      <c r="B388" s="8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8"/>
      <c r="AG388" s="8"/>
      <c r="AH388" s="8"/>
      <c r="AI388" s="8"/>
      <c r="AJ388" s="8"/>
      <c r="AK388" s="8"/>
      <c r="AL388" s="8"/>
      <c r="AM388" s="7"/>
      <c r="AN388" s="7"/>
      <c r="AO388" s="7"/>
      <c r="AP388" s="7"/>
    </row>
    <row r="389" spans="1:42">
      <c r="A389" s="8"/>
      <c r="B389" s="8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8"/>
      <c r="AG389" s="8"/>
      <c r="AH389" s="8"/>
      <c r="AI389" s="8"/>
      <c r="AJ389" s="8"/>
      <c r="AK389" s="8"/>
      <c r="AL389" s="8"/>
      <c r="AM389" s="7"/>
      <c r="AN389" s="7"/>
      <c r="AO389" s="7"/>
      <c r="AP389" s="7"/>
    </row>
    <row r="390" spans="1:42">
      <c r="A390" s="8"/>
      <c r="B390" s="8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8"/>
      <c r="AG390" s="8"/>
      <c r="AH390" s="8"/>
      <c r="AI390" s="8"/>
      <c r="AJ390" s="8"/>
      <c r="AK390" s="8"/>
      <c r="AL390" s="8"/>
      <c r="AM390" s="7"/>
      <c r="AN390" s="7"/>
      <c r="AO390" s="7"/>
      <c r="AP390" s="7"/>
    </row>
    <row r="391" spans="1:42">
      <c r="A391" s="8"/>
      <c r="B391" s="8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8"/>
      <c r="AG391" s="8"/>
      <c r="AH391" s="8"/>
      <c r="AI391" s="8"/>
      <c r="AJ391" s="8"/>
      <c r="AK391" s="8"/>
      <c r="AL391" s="8"/>
      <c r="AM391" s="7"/>
      <c r="AN391" s="7"/>
      <c r="AO391" s="7"/>
      <c r="AP391" s="7"/>
    </row>
    <row r="392" spans="1:42">
      <c r="A392" s="8"/>
      <c r="B392" s="8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8"/>
      <c r="AG392" s="8"/>
      <c r="AH392" s="8"/>
      <c r="AI392" s="8"/>
      <c r="AJ392" s="8"/>
      <c r="AK392" s="8"/>
      <c r="AL392" s="8"/>
      <c r="AM392" s="7"/>
      <c r="AN392" s="7"/>
      <c r="AO392" s="7"/>
      <c r="AP392" s="7"/>
    </row>
    <row r="393" spans="1:42">
      <c r="A393" s="8"/>
      <c r="B393" s="8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8"/>
      <c r="AG393" s="8"/>
      <c r="AH393" s="8"/>
      <c r="AI393" s="8"/>
      <c r="AJ393" s="8"/>
      <c r="AK393" s="8"/>
      <c r="AL393" s="8"/>
      <c r="AM393" s="7"/>
      <c r="AN393" s="7"/>
      <c r="AO393" s="7"/>
      <c r="AP393" s="7"/>
    </row>
    <row r="394" spans="1:42">
      <c r="A394" s="8"/>
      <c r="B394" s="8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8"/>
      <c r="AG394" s="8"/>
      <c r="AH394" s="8"/>
      <c r="AI394" s="8"/>
      <c r="AJ394" s="8"/>
      <c r="AK394" s="8"/>
      <c r="AL394" s="8"/>
      <c r="AM394" s="7"/>
      <c r="AN394" s="7"/>
      <c r="AO394" s="7"/>
      <c r="AP394" s="7"/>
    </row>
    <row r="395" spans="1:42">
      <c r="A395" s="8"/>
      <c r="B395" s="8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8"/>
      <c r="AG395" s="8"/>
      <c r="AH395" s="8"/>
      <c r="AI395" s="8"/>
      <c r="AJ395" s="8"/>
      <c r="AK395" s="8"/>
      <c r="AL395" s="8"/>
      <c r="AM395" s="7"/>
      <c r="AN395" s="7"/>
      <c r="AO395" s="7"/>
      <c r="AP395" s="7"/>
    </row>
    <row r="396" spans="1:42">
      <c r="A396" s="8"/>
      <c r="B396" s="8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8"/>
      <c r="AG396" s="8"/>
      <c r="AH396" s="8"/>
      <c r="AI396" s="8"/>
      <c r="AJ396" s="8"/>
      <c r="AK396" s="8"/>
      <c r="AL396" s="8"/>
      <c r="AM396" s="7"/>
      <c r="AN396" s="7"/>
      <c r="AO396" s="7"/>
      <c r="AP396" s="7"/>
    </row>
    <row r="397" spans="1:42">
      <c r="A397" s="8"/>
      <c r="B397" s="8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8"/>
      <c r="AG397" s="8"/>
      <c r="AH397" s="8"/>
      <c r="AI397" s="8"/>
      <c r="AJ397" s="8"/>
      <c r="AK397" s="8"/>
      <c r="AL397" s="8"/>
      <c r="AM397" s="7"/>
      <c r="AN397" s="7"/>
      <c r="AO397" s="7"/>
      <c r="AP397" s="7"/>
    </row>
    <row r="398" spans="1:42">
      <c r="A398" s="8"/>
      <c r="B398" s="8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8"/>
      <c r="AG398" s="8"/>
      <c r="AH398" s="8"/>
      <c r="AI398" s="8"/>
      <c r="AJ398" s="8"/>
      <c r="AK398" s="8"/>
      <c r="AL398" s="8"/>
      <c r="AM398" s="7"/>
      <c r="AN398" s="7"/>
      <c r="AO398" s="7"/>
      <c r="AP398" s="7"/>
    </row>
    <row r="399" spans="1:42">
      <c r="A399" s="8"/>
      <c r="B399" s="8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8"/>
      <c r="AG399" s="8"/>
      <c r="AH399" s="8"/>
      <c r="AI399" s="8"/>
      <c r="AJ399" s="8"/>
      <c r="AK399" s="8"/>
      <c r="AL399" s="8"/>
      <c r="AM399" s="7"/>
      <c r="AN399" s="7"/>
      <c r="AO399" s="7"/>
      <c r="AP399" s="7"/>
    </row>
    <row r="400" spans="1:42">
      <c r="A400" s="8"/>
      <c r="B400" s="8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8"/>
      <c r="AG400" s="8"/>
      <c r="AH400" s="8"/>
      <c r="AI400" s="8"/>
      <c r="AJ400" s="8"/>
      <c r="AK400" s="8"/>
      <c r="AL400" s="8"/>
      <c r="AM400" s="7"/>
      <c r="AN400" s="7"/>
      <c r="AO400" s="7"/>
      <c r="AP400" s="7"/>
    </row>
    <row r="401" spans="1:42">
      <c r="A401" s="8"/>
      <c r="B401" s="8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8"/>
      <c r="AG401" s="8"/>
      <c r="AH401" s="8"/>
      <c r="AI401" s="8"/>
      <c r="AJ401" s="8"/>
      <c r="AK401" s="8"/>
      <c r="AL401" s="8"/>
      <c r="AM401" s="7"/>
      <c r="AN401" s="7"/>
      <c r="AO401" s="7"/>
      <c r="AP401" s="7"/>
    </row>
    <row r="402" spans="1:42">
      <c r="A402" s="8"/>
      <c r="B402" s="8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8"/>
      <c r="AG402" s="8"/>
      <c r="AH402" s="8"/>
      <c r="AI402" s="8"/>
      <c r="AJ402" s="8"/>
      <c r="AK402" s="8"/>
      <c r="AL402" s="8"/>
      <c r="AM402" s="7"/>
      <c r="AN402" s="7"/>
      <c r="AO402" s="7"/>
      <c r="AP402" s="7"/>
    </row>
    <row r="403" spans="1:42">
      <c r="A403" s="8"/>
      <c r="B403" s="8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8"/>
      <c r="AG403" s="8"/>
      <c r="AH403" s="8"/>
      <c r="AI403" s="8"/>
      <c r="AJ403" s="8"/>
      <c r="AK403" s="8"/>
      <c r="AL403" s="8"/>
      <c r="AM403" s="7"/>
      <c r="AN403" s="7"/>
      <c r="AO403" s="7"/>
      <c r="AP403" s="7"/>
    </row>
    <row r="404" spans="1:42">
      <c r="A404" s="8"/>
      <c r="B404" s="8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8"/>
      <c r="AG404" s="8"/>
      <c r="AH404" s="8"/>
      <c r="AI404" s="8"/>
      <c r="AJ404" s="8"/>
      <c r="AK404" s="8"/>
      <c r="AL404" s="8"/>
      <c r="AM404" s="7"/>
      <c r="AN404" s="7"/>
      <c r="AO404" s="7"/>
      <c r="AP404" s="7"/>
    </row>
    <row r="405" spans="1:42">
      <c r="A405" s="8"/>
      <c r="B405" s="8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8"/>
      <c r="AG405" s="8"/>
      <c r="AH405" s="8"/>
      <c r="AI405" s="8"/>
      <c r="AJ405" s="8"/>
      <c r="AK405" s="8"/>
      <c r="AL405" s="8"/>
      <c r="AM405" s="7"/>
      <c r="AN405" s="7"/>
      <c r="AO405" s="7"/>
      <c r="AP405" s="7"/>
    </row>
    <row r="406" spans="1:42">
      <c r="A406" s="8"/>
      <c r="B406" s="8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8"/>
      <c r="AG406" s="8"/>
      <c r="AH406" s="8"/>
      <c r="AI406" s="8"/>
      <c r="AJ406" s="8"/>
      <c r="AK406" s="8"/>
      <c r="AL406" s="8"/>
      <c r="AM406" s="7"/>
      <c r="AN406" s="7"/>
      <c r="AO406" s="7"/>
      <c r="AP406" s="7"/>
    </row>
    <row r="407" spans="1:42">
      <c r="A407" s="8"/>
      <c r="B407" s="8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8"/>
      <c r="AG407" s="8"/>
      <c r="AH407" s="8"/>
      <c r="AI407" s="8"/>
      <c r="AJ407" s="8"/>
      <c r="AK407" s="8"/>
      <c r="AL407" s="8"/>
      <c r="AM407" s="7"/>
      <c r="AN407" s="7"/>
      <c r="AO407" s="7"/>
      <c r="AP407" s="7"/>
    </row>
    <row r="408" spans="1:42">
      <c r="A408" s="8"/>
      <c r="B408" s="8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8"/>
      <c r="AG408" s="8"/>
      <c r="AH408" s="8"/>
      <c r="AI408" s="8"/>
      <c r="AJ408" s="8"/>
      <c r="AK408" s="8"/>
      <c r="AL408" s="8"/>
      <c r="AM408" s="7"/>
      <c r="AN408" s="7"/>
      <c r="AO408" s="7"/>
      <c r="AP408" s="7"/>
    </row>
    <row r="409" spans="1:42">
      <c r="A409" s="8"/>
      <c r="B409" s="8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8"/>
      <c r="AG409" s="8"/>
      <c r="AH409" s="8"/>
      <c r="AI409" s="8"/>
      <c r="AJ409" s="8"/>
      <c r="AK409" s="8"/>
      <c r="AL409" s="8"/>
      <c r="AM409" s="7"/>
      <c r="AN409" s="7"/>
      <c r="AO409" s="7"/>
      <c r="AP409" s="7"/>
    </row>
    <row r="410" spans="1:42">
      <c r="A410" s="8"/>
      <c r="B410" s="8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8"/>
      <c r="AG410" s="8"/>
      <c r="AH410" s="8"/>
      <c r="AI410" s="8"/>
      <c r="AJ410" s="8"/>
      <c r="AK410" s="8"/>
      <c r="AL410" s="8"/>
      <c r="AM410" s="7"/>
      <c r="AN410" s="7"/>
      <c r="AO410" s="7"/>
      <c r="AP410" s="7"/>
    </row>
    <row r="411" spans="1:42">
      <c r="A411" s="8"/>
      <c r="B411" s="8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8"/>
      <c r="AG411" s="8"/>
      <c r="AH411" s="8"/>
      <c r="AI411" s="8"/>
      <c r="AJ411" s="8"/>
      <c r="AK411" s="8"/>
      <c r="AL411" s="8"/>
      <c r="AM411" s="7"/>
      <c r="AN411" s="7"/>
      <c r="AO411" s="7"/>
      <c r="AP411" s="7"/>
    </row>
    <row r="412" spans="1:42">
      <c r="A412" s="8"/>
      <c r="B412" s="8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8"/>
      <c r="AG412" s="8"/>
      <c r="AH412" s="8"/>
      <c r="AI412" s="8"/>
      <c r="AJ412" s="8"/>
      <c r="AK412" s="8"/>
      <c r="AL412" s="8"/>
      <c r="AM412" s="7"/>
      <c r="AN412" s="7"/>
      <c r="AO412" s="7"/>
      <c r="AP412" s="7"/>
    </row>
    <row r="413" spans="1:42">
      <c r="A413" s="8"/>
      <c r="B413" s="8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8"/>
      <c r="AG413" s="8"/>
      <c r="AH413" s="8"/>
      <c r="AI413" s="8"/>
      <c r="AJ413" s="8"/>
      <c r="AK413" s="8"/>
      <c r="AL413" s="8"/>
      <c r="AM413" s="7"/>
      <c r="AN413" s="7"/>
      <c r="AO413" s="7"/>
      <c r="AP413" s="7"/>
    </row>
    <row r="414" spans="1:42">
      <c r="A414" s="8"/>
      <c r="B414" s="8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8"/>
      <c r="AG414" s="8"/>
      <c r="AH414" s="8"/>
      <c r="AI414" s="8"/>
      <c r="AJ414" s="8"/>
      <c r="AK414" s="8"/>
      <c r="AL414" s="8"/>
      <c r="AM414" s="7"/>
      <c r="AN414" s="7"/>
      <c r="AO414" s="7"/>
      <c r="AP414" s="7"/>
    </row>
    <row r="415" spans="1:42">
      <c r="A415" s="8"/>
      <c r="B415" s="8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8"/>
      <c r="AG415" s="8"/>
      <c r="AH415" s="8"/>
      <c r="AI415" s="8"/>
      <c r="AJ415" s="8"/>
      <c r="AK415" s="8"/>
      <c r="AL415" s="8"/>
      <c r="AM415" s="7"/>
      <c r="AN415" s="7"/>
      <c r="AO415" s="7"/>
      <c r="AP415" s="7"/>
    </row>
    <row r="416" spans="1:42">
      <c r="A416" s="8"/>
      <c r="B416" s="8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8"/>
      <c r="AG416" s="8"/>
      <c r="AH416" s="8"/>
      <c r="AI416" s="8"/>
      <c r="AJ416" s="8"/>
      <c r="AK416" s="8"/>
      <c r="AL416" s="8"/>
      <c r="AM416" s="7"/>
      <c r="AN416" s="7"/>
      <c r="AO416" s="7"/>
      <c r="AP416" s="7"/>
    </row>
    <row r="417" spans="1:42">
      <c r="A417" s="8"/>
      <c r="B417" s="8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8"/>
      <c r="AG417" s="8"/>
      <c r="AH417" s="8"/>
      <c r="AI417" s="8"/>
      <c r="AJ417" s="8"/>
      <c r="AK417" s="8"/>
      <c r="AL417" s="8"/>
      <c r="AM417" s="7"/>
      <c r="AN417" s="7"/>
      <c r="AO417" s="7"/>
      <c r="AP417" s="7"/>
    </row>
    <row r="418" spans="1:42">
      <c r="A418" s="8"/>
      <c r="B418" s="8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8"/>
      <c r="AG418" s="8"/>
      <c r="AH418" s="8"/>
      <c r="AI418" s="8"/>
      <c r="AJ418" s="8"/>
      <c r="AK418" s="8"/>
      <c r="AL418" s="8"/>
      <c r="AM418" s="7"/>
      <c r="AN418" s="7"/>
      <c r="AO418" s="7"/>
      <c r="AP418" s="7"/>
    </row>
    <row r="419" spans="1:42">
      <c r="A419" s="8"/>
      <c r="B419" s="8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8"/>
      <c r="AG419" s="8"/>
      <c r="AH419" s="8"/>
      <c r="AI419" s="8"/>
      <c r="AJ419" s="8"/>
      <c r="AK419" s="8"/>
      <c r="AL419" s="8"/>
      <c r="AM419" s="7"/>
      <c r="AN419" s="7"/>
      <c r="AO419" s="7"/>
      <c r="AP419" s="7"/>
    </row>
    <row r="420" spans="1:42">
      <c r="A420" s="8"/>
      <c r="B420" s="8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8"/>
      <c r="AG420" s="8"/>
      <c r="AH420" s="8"/>
      <c r="AI420" s="8"/>
      <c r="AJ420" s="8"/>
      <c r="AK420" s="8"/>
      <c r="AL420" s="8"/>
      <c r="AM420" s="7"/>
      <c r="AN420" s="7"/>
      <c r="AO420" s="7"/>
      <c r="AP420" s="7"/>
    </row>
    <row r="421" spans="1:42">
      <c r="A421" s="8"/>
      <c r="B421" s="8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8"/>
      <c r="AG421" s="8"/>
      <c r="AH421" s="8"/>
      <c r="AI421" s="8"/>
      <c r="AJ421" s="8"/>
      <c r="AK421" s="8"/>
      <c r="AL421" s="8"/>
      <c r="AM421" s="7"/>
      <c r="AN421" s="7"/>
      <c r="AO421" s="7"/>
      <c r="AP421" s="7"/>
    </row>
    <row r="422" spans="1:42">
      <c r="A422" s="8"/>
      <c r="B422" s="8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8"/>
      <c r="AG422" s="8"/>
      <c r="AH422" s="8"/>
      <c r="AI422" s="8"/>
      <c r="AJ422" s="8"/>
      <c r="AK422" s="8"/>
      <c r="AL422" s="8"/>
      <c r="AM422" s="7"/>
      <c r="AN422" s="7"/>
      <c r="AO422" s="7"/>
      <c r="AP422" s="7"/>
    </row>
    <row r="423" spans="1:42">
      <c r="A423" s="8"/>
      <c r="B423" s="8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8"/>
      <c r="AG423" s="8"/>
      <c r="AH423" s="8"/>
      <c r="AI423" s="8"/>
      <c r="AJ423" s="8"/>
      <c r="AK423" s="8"/>
      <c r="AL423" s="8"/>
      <c r="AM423" s="7"/>
      <c r="AN423" s="7"/>
      <c r="AO423" s="7"/>
      <c r="AP423" s="7"/>
    </row>
    <row r="424" spans="1:42">
      <c r="A424" s="8"/>
      <c r="B424" s="8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8"/>
      <c r="AG424" s="8"/>
      <c r="AH424" s="8"/>
      <c r="AI424" s="8"/>
      <c r="AJ424" s="8"/>
      <c r="AK424" s="8"/>
      <c r="AL424" s="8"/>
      <c r="AM424" s="7"/>
      <c r="AN424" s="7"/>
      <c r="AO424" s="7"/>
      <c r="AP424" s="7"/>
    </row>
    <row r="425" spans="1:42">
      <c r="A425" s="8"/>
      <c r="B425" s="8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8"/>
      <c r="AG425" s="8"/>
      <c r="AH425" s="8"/>
      <c r="AI425" s="8"/>
      <c r="AJ425" s="8"/>
      <c r="AK425" s="8"/>
      <c r="AL425" s="8"/>
      <c r="AM425" s="7"/>
      <c r="AN425" s="7"/>
      <c r="AO425" s="7"/>
      <c r="AP425" s="7"/>
    </row>
    <row r="426" spans="1:42">
      <c r="A426" s="8"/>
      <c r="B426" s="8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8"/>
      <c r="AG426" s="8"/>
      <c r="AH426" s="8"/>
      <c r="AI426" s="8"/>
      <c r="AJ426" s="8"/>
      <c r="AK426" s="8"/>
      <c r="AL426" s="8"/>
      <c r="AM426" s="7"/>
      <c r="AN426" s="7"/>
      <c r="AO426" s="7"/>
      <c r="AP426" s="7"/>
    </row>
    <row r="427" spans="1:42">
      <c r="A427" s="8"/>
      <c r="B427" s="8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8"/>
      <c r="AG427" s="8"/>
      <c r="AH427" s="8"/>
      <c r="AI427" s="8"/>
      <c r="AJ427" s="8"/>
      <c r="AK427" s="8"/>
      <c r="AL427" s="8"/>
      <c r="AM427" s="7"/>
      <c r="AN427" s="7"/>
      <c r="AO427" s="7"/>
      <c r="AP427" s="7"/>
    </row>
    <row r="428" spans="1:42">
      <c r="A428" s="8"/>
      <c r="B428" s="8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8"/>
      <c r="AG428" s="8"/>
      <c r="AH428" s="8"/>
      <c r="AI428" s="8"/>
      <c r="AJ428" s="8"/>
      <c r="AK428" s="8"/>
      <c r="AL428" s="8"/>
      <c r="AM428" s="7"/>
      <c r="AN428" s="7"/>
      <c r="AO428" s="7"/>
      <c r="AP428" s="7"/>
    </row>
    <row r="429" spans="1:42">
      <c r="A429" s="8"/>
      <c r="B429" s="8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8"/>
      <c r="AG429" s="8"/>
      <c r="AH429" s="8"/>
      <c r="AI429" s="8"/>
      <c r="AJ429" s="8"/>
      <c r="AK429" s="8"/>
      <c r="AL429" s="8"/>
      <c r="AM429" s="7"/>
      <c r="AN429" s="7"/>
      <c r="AO429" s="7"/>
      <c r="AP429" s="7"/>
    </row>
    <row r="430" spans="1:42">
      <c r="A430" s="8"/>
      <c r="B430" s="8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8"/>
      <c r="AG430" s="8"/>
      <c r="AH430" s="8"/>
      <c r="AI430" s="8"/>
      <c r="AJ430" s="8"/>
      <c r="AK430" s="8"/>
      <c r="AL430" s="8"/>
      <c r="AM430" s="7"/>
      <c r="AN430" s="7"/>
      <c r="AO430" s="7"/>
      <c r="AP430" s="7"/>
    </row>
    <row r="431" spans="1:42">
      <c r="A431" s="8"/>
      <c r="B431" s="8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8"/>
      <c r="AG431" s="8"/>
      <c r="AH431" s="8"/>
      <c r="AI431" s="8"/>
      <c r="AJ431" s="8"/>
      <c r="AK431" s="8"/>
      <c r="AL431" s="8"/>
      <c r="AM431" s="7"/>
      <c r="AN431" s="7"/>
      <c r="AO431" s="7"/>
      <c r="AP431" s="7"/>
    </row>
    <row r="432" spans="1:42">
      <c r="A432" s="8"/>
      <c r="B432" s="8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8"/>
      <c r="AG432" s="8"/>
      <c r="AH432" s="8"/>
      <c r="AI432" s="8"/>
      <c r="AJ432" s="8"/>
      <c r="AK432" s="8"/>
      <c r="AL432" s="8"/>
      <c r="AM432" s="7"/>
      <c r="AN432" s="7"/>
      <c r="AO432" s="7"/>
      <c r="AP432" s="7"/>
    </row>
    <row r="433" spans="1:42">
      <c r="A433" s="8"/>
      <c r="B433" s="8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8"/>
      <c r="AG433" s="8"/>
      <c r="AH433" s="8"/>
      <c r="AI433" s="8"/>
      <c r="AJ433" s="8"/>
      <c r="AK433" s="8"/>
      <c r="AL433" s="8"/>
      <c r="AM433" s="7"/>
      <c r="AN433" s="7"/>
      <c r="AO433" s="7"/>
      <c r="AP433" s="7"/>
    </row>
    <row r="434" spans="1:42">
      <c r="A434" s="8"/>
      <c r="B434" s="8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8"/>
      <c r="AG434" s="8"/>
      <c r="AH434" s="8"/>
      <c r="AI434" s="8"/>
      <c r="AJ434" s="8"/>
      <c r="AK434" s="8"/>
      <c r="AL434" s="8"/>
      <c r="AM434" s="7"/>
      <c r="AN434" s="7"/>
      <c r="AO434" s="7"/>
      <c r="AP434" s="7"/>
    </row>
    <row r="435" spans="1:42">
      <c r="A435" s="8"/>
      <c r="B435" s="8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8"/>
      <c r="AG435" s="8"/>
      <c r="AH435" s="8"/>
      <c r="AI435" s="8"/>
      <c r="AJ435" s="8"/>
      <c r="AK435" s="8"/>
      <c r="AL435" s="8"/>
      <c r="AM435" s="7"/>
      <c r="AN435" s="7"/>
      <c r="AO435" s="7"/>
      <c r="AP435" s="7"/>
    </row>
    <row r="436" spans="1:42">
      <c r="A436" s="8"/>
      <c r="B436" s="8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8"/>
      <c r="AG436" s="8"/>
      <c r="AH436" s="8"/>
      <c r="AI436" s="8"/>
      <c r="AJ436" s="8"/>
      <c r="AK436" s="8"/>
      <c r="AL436" s="8"/>
      <c r="AM436" s="7"/>
      <c r="AN436" s="7"/>
      <c r="AO436" s="7"/>
      <c r="AP436" s="7"/>
    </row>
    <row r="437" spans="1:42">
      <c r="A437" s="8"/>
      <c r="B437" s="8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8"/>
      <c r="AG437" s="8"/>
      <c r="AH437" s="8"/>
      <c r="AI437" s="8"/>
      <c r="AJ437" s="8"/>
      <c r="AK437" s="8"/>
      <c r="AL437" s="8"/>
      <c r="AM437" s="7"/>
      <c r="AN437" s="7"/>
      <c r="AO437" s="7"/>
      <c r="AP437" s="7"/>
    </row>
    <row r="438" spans="1:42">
      <c r="A438" s="8"/>
      <c r="B438" s="8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8"/>
      <c r="AG438" s="8"/>
      <c r="AH438" s="8"/>
      <c r="AI438" s="8"/>
      <c r="AJ438" s="8"/>
      <c r="AK438" s="8"/>
      <c r="AL438" s="8"/>
      <c r="AM438" s="7"/>
      <c r="AN438" s="7"/>
      <c r="AO438" s="7"/>
      <c r="AP438" s="7"/>
    </row>
    <row r="439" spans="1:42">
      <c r="A439" s="8"/>
      <c r="B439" s="8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8"/>
      <c r="AG439" s="8"/>
      <c r="AH439" s="8"/>
      <c r="AI439" s="8"/>
      <c r="AJ439" s="8"/>
      <c r="AK439" s="8"/>
      <c r="AL439" s="8"/>
      <c r="AM439" s="7"/>
      <c r="AN439" s="7"/>
      <c r="AO439" s="7"/>
      <c r="AP439" s="7"/>
    </row>
    <row r="440" spans="1:42">
      <c r="A440" s="8"/>
      <c r="B440" s="8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8"/>
      <c r="AG440" s="8"/>
      <c r="AH440" s="8"/>
      <c r="AI440" s="8"/>
      <c r="AJ440" s="8"/>
      <c r="AK440" s="8"/>
      <c r="AL440" s="8"/>
      <c r="AM440" s="7"/>
      <c r="AN440" s="7"/>
      <c r="AO440" s="7"/>
      <c r="AP440" s="7"/>
    </row>
    <row r="441" spans="1:42">
      <c r="A441" s="8"/>
      <c r="B441" s="8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8"/>
      <c r="AG441" s="8"/>
      <c r="AH441" s="8"/>
      <c r="AI441" s="8"/>
      <c r="AJ441" s="8"/>
      <c r="AK441" s="8"/>
      <c r="AL441" s="8"/>
      <c r="AM441" s="7"/>
      <c r="AN441" s="7"/>
      <c r="AO441" s="7"/>
      <c r="AP441" s="7"/>
    </row>
    <row r="442" spans="1:42">
      <c r="A442" s="8"/>
      <c r="B442" s="8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8"/>
      <c r="AG442" s="8"/>
      <c r="AH442" s="8"/>
      <c r="AI442" s="8"/>
      <c r="AJ442" s="8"/>
      <c r="AK442" s="8"/>
      <c r="AL442" s="8"/>
      <c r="AM442" s="7"/>
      <c r="AN442" s="7"/>
      <c r="AO442" s="7"/>
      <c r="AP442" s="7"/>
    </row>
    <row r="443" spans="1:42">
      <c r="A443" s="8"/>
      <c r="B443" s="8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8"/>
      <c r="AG443" s="8"/>
      <c r="AH443" s="8"/>
      <c r="AI443" s="8"/>
      <c r="AJ443" s="8"/>
      <c r="AK443" s="8"/>
      <c r="AL443" s="8"/>
      <c r="AM443" s="7"/>
      <c r="AN443" s="7"/>
      <c r="AO443" s="7"/>
      <c r="AP443" s="7"/>
    </row>
    <row r="444" spans="1:42">
      <c r="A444" s="8"/>
      <c r="B444" s="8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8"/>
      <c r="AG444" s="8"/>
      <c r="AH444" s="8"/>
      <c r="AI444" s="8"/>
      <c r="AJ444" s="8"/>
      <c r="AK444" s="8"/>
      <c r="AL444" s="8"/>
      <c r="AM444" s="7"/>
      <c r="AN444" s="7"/>
      <c r="AO444" s="7"/>
      <c r="AP444" s="7"/>
    </row>
    <row r="445" spans="1:42">
      <c r="A445" s="8"/>
      <c r="B445" s="8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8"/>
      <c r="AG445" s="8"/>
      <c r="AH445" s="8"/>
      <c r="AI445" s="8"/>
      <c r="AJ445" s="8"/>
      <c r="AK445" s="8"/>
      <c r="AL445" s="8"/>
      <c r="AM445" s="7"/>
      <c r="AN445" s="7"/>
      <c r="AO445" s="7"/>
      <c r="AP445" s="7"/>
    </row>
    <row r="446" spans="1:42">
      <c r="A446" s="8"/>
      <c r="B446" s="8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8"/>
      <c r="AG446" s="8"/>
      <c r="AH446" s="8"/>
      <c r="AI446" s="8"/>
      <c r="AJ446" s="8"/>
      <c r="AK446" s="8"/>
      <c r="AL446" s="8"/>
      <c r="AM446" s="7"/>
      <c r="AN446" s="7"/>
      <c r="AO446" s="7"/>
      <c r="AP446" s="7"/>
    </row>
    <row r="447" spans="1:42">
      <c r="A447" s="8"/>
      <c r="B447" s="8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8"/>
      <c r="AG447" s="8"/>
      <c r="AH447" s="8"/>
      <c r="AI447" s="8"/>
      <c r="AJ447" s="8"/>
      <c r="AK447" s="8"/>
      <c r="AL447" s="8"/>
      <c r="AM447" s="7"/>
      <c r="AN447" s="7"/>
      <c r="AO447" s="7"/>
      <c r="AP447" s="7"/>
    </row>
    <row r="448" spans="1:42">
      <c r="A448" s="8"/>
      <c r="B448" s="8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8"/>
      <c r="AG448" s="8"/>
      <c r="AH448" s="8"/>
      <c r="AI448" s="8"/>
      <c r="AJ448" s="8"/>
      <c r="AK448" s="8"/>
      <c r="AL448" s="8"/>
      <c r="AM448" s="7"/>
      <c r="AN448" s="7"/>
      <c r="AO448" s="7"/>
      <c r="AP448" s="7"/>
    </row>
    <row r="449" spans="1:42">
      <c r="A449" s="8"/>
      <c r="B449" s="8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8"/>
      <c r="AG449" s="8"/>
      <c r="AH449" s="8"/>
      <c r="AI449" s="8"/>
      <c r="AJ449" s="8"/>
      <c r="AK449" s="8"/>
      <c r="AL449" s="8"/>
      <c r="AM449" s="7"/>
      <c r="AN449" s="7"/>
      <c r="AO449" s="7"/>
      <c r="AP449" s="7"/>
    </row>
    <row r="450" spans="1:42">
      <c r="A450" s="8"/>
      <c r="B450" s="8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8"/>
      <c r="AG450" s="8"/>
      <c r="AH450" s="8"/>
      <c r="AI450" s="8"/>
      <c r="AJ450" s="8"/>
      <c r="AK450" s="8"/>
      <c r="AL450" s="8"/>
      <c r="AM450" s="7"/>
      <c r="AN450" s="7"/>
      <c r="AO450" s="7"/>
      <c r="AP450" s="7"/>
    </row>
    <row r="451" spans="1:42">
      <c r="A451" s="8"/>
      <c r="B451" s="8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8"/>
      <c r="AG451" s="8"/>
      <c r="AH451" s="8"/>
      <c r="AI451" s="8"/>
      <c r="AJ451" s="8"/>
      <c r="AK451" s="8"/>
      <c r="AL451" s="8"/>
      <c r="AM451" s="7"/>
      <c r="AN451" s="7"/>
      <c r="AO451" s="7"/>
      <c r="AP451" s="7"/>
    </row>
    <row r="452" spans="1:42">
      <c r="A452" s="8"/>
      <c r="B452" s="8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8"/>
      <c r="AG452" s="8"/>
      <c r="AH452" s="8"/>
      <c r="AI452" s="8"/>
      <c r="AJ452" s="8"/>
      <c r="AK452" s="8"/>
      <c r="AL452" s="8"/>
      <c r="AM452" s="7"/>
      <c r="AN452" s="7"/>
      <c r="AO452" s="7"/>
      <c r="AP452" s="7"/>
    </row>
    <row r="453" spans="1:42">
      <c r="A453" s="8"/>
      <c r="B453" s="8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8"/>
      <c r="AG453" s="8"/>
      <c r="AH453" s="8"/>
      <c r="AI453" s="8"/>
      <c r="AJ453" s="8"/>
      <c r="AK453" s="8"/>
      <c r="AL453" s="8"/>
      <c r="AM453" s="7"/>
      <c r="AN453" s="7"/>
      <c r="AO453" s="7"/>
      <c r="AP453" s="7"/>
    </row>
    <row r="454" spans="1:42">
      <c r="A454" s="8"/>
      <c r="B454" s="8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8"/>
      <c r="AG454" s="8"/>
      <c r="AH454" s="8"/>
      <c r="AI454" s="8"/>
      <c r="AJ454" s="8"/>
      <c r="AK454" s="8"/>
      <c r="AL454" s="8"/>
      <c r="AM454" s="7"/>
      <c r="AN454" s="7"/>
      <c r="AO454" s="7"/>
      <c r="AP454" s="7"/>
    </row>
    <row r="455" spans="1:42">
      <c r="A455" s="8"/>
      <c r="B455" s="8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8"/>
      <c r="AG455" s="8"/>
      <c r="AH455" s="8"/>
      <c r="AI455" s="8"/>
      <c r="AJ455" s="8"/>
      <c r="AK455" s="8"/>
      <c r="AL455" s="8"/>
      <c r="AM455" s="7"/>
      <c r="AN455" s="7"/>
      <c r="AO455" s="7"/>
      <c r="AP455" s="7"/>
    </row>
    <row r="456" spans="1:42">
      <c r="A456" s="8"/>
      <c r="B456" s="8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8"/>
      <c r="AG456" s="8"/>
      <c r="AH456" s="8"/>
      <c r="AI456" s="8"/>
      <c r="AJ456" s="8"/>
      <c r="AK456" s="8"/>
      <c r="AL456" s="8"/>
      <c r="AM456" s="7"/>
      <c r="AN456" s="7"/>
      <c r="AO456" s="7"/>
      <c r="AP456" s="7"/>
    </row>
    <row r="457" spans="1:42">
      <c r="A457" s="8"/>
      <c r="B457" s="8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8"/>
      <c r="AG457" s="8"/>
      <c r="AH457" s="8"/>
      <c r="AI457" s="8"/>
      <c r="AJ457" s="8"/>
      <c r="AK457" s="8"/>
      <c r="AL457" s="8"/>
      <c r="AM457" s="7"/>
      <c r="AN457" s="7"/>
      <c r="AO457" s="7"/>
      <c r="AP457" s="7"/>
    </row>
    <row r="458" spans="1:42">
      <c r="A458" s="8"/>
      <c r="B458" s="8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8"/>
      <c r="AG458" s="8"/>
      <c r="AH458" s="8"/>
      <c r="AI458" s="8"/>
      <c r="AJ458" s="8"/>
      <c r="AK458" s="8"/>
      <c r="AL458" s="8"/>
      <c r="AM458" s="7"/>
      <c r="AN458" s="7"/>
      <c r="AO458" s="7"/>
      <c r="AP458" s="7"/>
    </row>
    <row r="459" spans="1:42">
      <c r="A459" s="8"/>
      <c r="B459" s="8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8"/>
      <c r="AG459" s="8"/>
      <c r="AH459" s="8"/>
      <c r="AI459" s="8"/>
      <c r="AJ459" s="8"/>
      <c r="AK459" s="8"/>
      <c r="AL459" s="8"/>
      <c r="AM459" s="7"/>
      <c r="AN459" s="7"/>
      <c r="AO459" s="7"/>
      <c r="AP459" s="7"/>
    </row>
    <row r="460" spans="1:42">
      <c r="A460" s="8"/>
      <c r="B460" s="8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8"/>
      <c r="AG460" s="8"/>
      <c r="AH460" s="8"/>
      <c r="AI460" s="8"/>
      <c r="AJ460" s="8"/>
      <c r="AK460" s="8"/>
      <c r="AL460" s="8"/>
      <c r="AM460" s="7"/>
      <c r="AN460" s="7"/>
      <c r="AO460" s="7"/>
      <c r="AP460" s="7"/>
    </row>
    <row r="461" spans="1:42">
      <c r="A461" s="8"/>
      <c r="B461" s="8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8"/>
      <c r="AG461" s="8"/>
      <c r="AH461" s="8"/>
      <c r="AI461" s="8"/>
      <c r="AJ461" s="8"/>
      <c r="AK461" s="8"/>
      <c r="AL461" s="8"/>
      <c r="AM461" s="7"/>
      <c r="AN461" s="7"/>
      <c r="AO461" s="7"/>
      <c r="AP461" s="7"/>
    </row>
    <row r="462" spans="1:42">
      <c r="A462" s="8"/>
      <c r="B462" s="8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8"/>
      <c r="AG462" s="8"/>
      <c r="AH462" s="8"/>
      <c r="AI462" s="8"/>
      <c r="AJ462" s="8"/>
      <c r="AK462" s="8"/>
      <c r="AL462" s="8"/>
      <c r="AM462" s="7"/>
      <c r="AN462" s="7"/>
      <c r="AO462" s="7"/>
      <c r="AP462" s="7"/>
    </row>
    <row r="463" spans="1:42">
      <c r="A463" s="8"/>
      <c r="B463" s="8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8"/>
      <c r="AG463" s="8"/>
      <c r="AH463" s="8"/>
      <c r="AI463" s="8"/>
      <c r="AJ463" s="8"/>
      <c r="AK463" s="8"/>
      <c r="AL463" s="8"/>
      <c r="AM463" s="7"/>
      <c r="AN463" s="7"/>
      <c r="AO463" s="7"/>
      <c r="AP463" s="7"/>
    </row>
    <row r="464" spans="1:42">
      <c r="A464" s="8"/>
      <c r="B464" s="8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8"/>
      <c r="AG464" s="8"/>
      <c r="AH464" s="8"/>
      <c r="AI464" s="8"/>
      <c r="AJ464" s="8"/>
      <c r="AK464" s="8"/>
      <c r="AL464" s="8"/>
      <c r="AM464" s="7"/>
      <c r="AN464" s="7"/>
      <c r="AO464" s="7"/>
      <c r="AP464" s="7"/>
    </row>
    <row r="465" spans="1:42">
      <c r="A465" s="8"/>
      <c r="B465" s="8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8"/>
      <c r="AG465" s="8"/>
      <c r="AH465" s="8"/>
      <c r="AI465" s="8"/>
      <c r="AJ465" s="8"/>
      <c r="AK465" s="8"/>
      <c r="AL465" s="8"/>
      <c r="AM465" s="7"/>
      <c r="AN465" s="7"/>
      <c r="AO465" s="7"/>
      <c r="AP465" s="7"/>
    </row>
    <row r="466" spans="1:42">
      <c r="A466" s="8"/>
      <c r="B466" s="8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8"/>
      <c r="AG466" s="8"/>
      <c r="AH466" s="8"/>
      <c r="AI466" s="8"/>
      <c r="AJ466" s="8"/>
      <c r="AK466" s="8"/>
      <c r="AL466" s="8"/>
      <c r="AM466" s="7"/>
      <c r="AN466" s="7"/>
      <c r="AO466" s="7"/>
      <c r="AP466" s="7"/>
    </row>
    <row r="467" spans="1:42">
      <c r="A467" s="8"/>
      <c r="B467" s="8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8"/>
      <c r="AG467" s="8"/>
      <c r="AH467" s="8"/>
      <c r="AI467" s="8"/>
      <c r="AJ467" s="8"/>
      <c r="AK467" s="8"/>
      <c r="AL467" s="8"/>
      <c r="AM467" s="7"/>
      <c r="AN467" s="7"/>
      <c r="AO467" s="7"/>
      <c r="AP467" s="7"/>
    </row>
    <row r="468" spans="1:42">
      <c r="A468" s="8"/>
      <c r="B468" s="8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8"/>
      <c r="AG468" s="8"/>
      <c r="AH468" s="8"/>
      <c r="AI468" s="8"/>
      <c r="AJ468" s="8"/>
      <c r="AK468" s="8"/>
      <c r="AL468" s="8"/>
      <c r="AM468" s="7"/>
      <c r="AN468" s="7"/>
      <c r="AO468" s="7"/>
      <c r="AP468" s="7"/>
    </row>
    <row r="469" spans="1:42">
      <c r="A469" s="8"/>
      <c r="B469" s="8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8"/>
      <c r="AG469" s="8"/>
      <c r="AH469" s="8"/>
      <c r="AI469" s="8"/>
      <c r="AJ469" s="8"/>
      <c r="AK469" s="8"/>
      <c r="AL469" s="8"/>
      <c r="AM469" s="7"/>
      <c r="AN469" s="7"/>
      <c r="AO469" s="7"/>
      <c r="AP469" s="7"/>
    </row>
    <row r="470" spans="1:42">
      <c r="A470" s="8"/>
      <c r="B470" s="8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8"/>
      <c r="AG470" s="8"/>
      <c r="AH470" s="8"/>
      <c r="AI470" s="8"/>
      <c r="AJ470" s="8"/>
      <c r="AK470" s="8"/>
      <c r="AL470" s="8"/>
      <c r="AM470" s="7"/>
      <c r="AN470" s="7"/>
      <c r="AO470" s="7"/>
      <c r="AP470" s="7"/>
    </row>
    <row r="471" spans="1:42">
      <c r="A471" s="8"/>
      <c r="B471" s="8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8"/>
      <c r="AG471" s="8"/>
      <c r="AH471" s="8"/>
      <c r="AI471" s="8"/>
      <c r="AJ471" s="8"/>
      <c r="AK471" s="8"/>
      <c r="AL471" s="8"/>
      <c r="AM471" s="7"/>
      <c r="AN471" s="7"/>
      <c r="AO471" s="7"/>
      <c r="AP471" s="7"/>
    </row>
    <row r="472" spans="1:42">
      <c r="A472" s="8"/>
      <c r="B472" s="8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8"/>
      <c r="AG472" s="8"/>
      <c r="AH472" s="8"/>
      <c r="AI472" s="8"/>
      <c r="AJ472" s="8"/>
      <c r="AK472" s="8"/>
      <c r="AL472" s="8"/>
      <c r="AM472" s="7"/>
      <c r="AN472" s="7"/>
      <c r="AO472" s="7"/>
      <c r="AP472" s="7"/>
    </row>
    <row r="473" spans="1:42">
      <c r="A473" s="8"/>
      <c r="B473" s="8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8"/>
      <c r="AG473" s="8"/>
      <c r="AH473" s="8"/>
      <c r="AI473" s="8"/>
      <c r="AJ473" s="8"/>
      <c r="AK473" s="8"/>
      <c r="AL473" s="8"/>
      <c r="AM473" s="7"/>
      <c r="AN473" s="7"/>
      <c r="AO473" s="7"/>
      <c r="AP473" s="7"/>
    </row>
    <row r="474" spans="1:42">
      <c r="A474" s="8"/>
      <c r="B474" s="8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8"/>
      <c r="AG474" s="8"/>
      <c r="AH474" s="8"/>
      <c r="AI474" s="8"/>
      <c r="AJ474" s="8"/>
      <c r="AK474" s="8"/>
      <c r="AL474" s="8"/>
      <c r="AM474" s="7"/>
      <c r="AN474" s="7"/>
      <c r="AO474" s="7"/>
      <c r="AP474" s="7"/>
    </row>
    <row r="475" spans="1:42">
      <c r="A475" s="8"/>
      <c r="B475" s="8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8"/>
      <c r="AG475" s="8"/>
      <c r="AH475" s="8"/>
      <c r="AI475" s="8"/>
      <c r="AJ475" s="8"/>
      <c r="AK475" s="8"/>
      <c r="AL475" s="8"/>
      <c r="AM475" s="7"/>
      <c r="AN475" s="7"/>
      <c r="AO475" s="7"/>
      <c r="AP475" s="7"/>
    </row>
    <row r="476" spans="1:42">
      <c r="A476" s="8"/>
      <c r="B476" s="8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8"/>
      <c r="AG476" s="8"/>
      <c r="AH476" s="8"/>
      <c r="AI476" s="8"/>
      <c r="AJ476" s="8"/>
      <c r="AK476" s="8"/>
      <c r="AL476" s="8"/>
      <c r="AM476" s="7"/>
      <c r="AN476" s="7"/>
      <c r="AO476" s="7"/>
      <c r="AP476" s="7"/>
    </row>
    <row r="477" spans="1:42">
      <c r="A477" s="8"/>
      <c r="B477" s="8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8"/>
      <c r="AG477" s="8"/>
      <c r="AH477" s="8"/>
      <c r="AI477" s="8"/>
      <c r="AJ477" s="8"/>
      <c r="AK477" s="8"/>
      <c r="AL477" s="8"/>
      <c r="AM477" s="7"/>
      <c r="AN477" s="7"/>
      <c r="AO477" s="7"/>
      <c r="AP477" s="7"/>
    </row>
    <row r="478" spans="1:42">
      <c r="A478" s="8"/>
      <c r="B478" s="8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8"/>
      <c r="AG478" s="8"/>
      <c r="AH478" s="8"/>
      <c r="AI478" s="8"/>
      <c r="AJ478" s="8"/>
      <c r="AK478" s="8"/>
      <c r="AL478" s="8"/>
      <c r="AM478" s="7"/>
      <c r="AN478" s="7"/>
      <c r="AO478" s="7"/>
      <c r="AP478" s="7"/>
    </row>
    <row r="479" spans="1:42">
      <c r="A479" s="8"/>
      <c r="B479" s="8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8"/>
      <c r="AG479" s="8"/>
      <c r="AH479" s="8"/>
      <c r="AI479" s="8"/>
      <c r="AJ479" s="8"/>
      <c r="AK479" s="8"/>
      <c r="AL479" s="8"/>
      <c r="AM479" s="7"/>
      <c r="AN479" s="7"/>
      <c r="AO479" s="7"/>
      <c r="AP479" s="7"/>
    </row>
    <row r="480" spans="1:42">
      <c r="A480" s="8"/>
      <c r="B480" s="8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8"/>
      <c r="AG480" s="8"/>
      <c r="AH480" s="8"/>
      <c r="AI480" s="8"/>
      <c r="AJ480" s="8"/>
      <c r="AK480" s="8"/>
      <c r="AL480" s="8"/>
      <c r="AM480" s="7"/>
      <c r="AN480" s="7"/>
      <c r="AO480" s="7"/>
      <c r="AP480" s="7"/>
    </row>
    <row r="481" spans="1:42">
      <c r="A481" s="8"/>
      <c r="B481" s="8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8"/>
      <c r="AG481" s="8"/>
      <c r="AH481" s="8"/>
      <c r="AI481" s="8"/>
      <c r="AJ481" s="8"/>
      <c r="AK481" s="8"/>
      <c r="AL481" s="8"/>
      <c r="AM481" s="7"/>
      <c r="AN481" s="7"/>
      <c r="AO481" s="7"/>
      <c r="AP481" s="7"/>
    </row>
    <row r="482" spans="1:42">
      <c r="A482" s="8"/>
      <c r="B482" s="8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8"/>
      <c r="AG482" s="8"/>
      <c r="AH482" s="8"/>
      <c r="AI482" s="8"/>
      <c r="AJ482" s="8"/>
      <c r="AK482" s="8"/>
      <c r="AL482" s="8"/>
      <c r="AM482" s="7"/>
      <c r="AN482" s="7"/>
      <c r="AO482" s="7"/>
      <c r="AP482" s="7"/>
    </row>
    <row r="483" spans="1:42">
      <c r="A483" s="8"/>
      <c r="B483" s="8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8"/>
      <c r="AG483" s="8"/>
      <c r="AH483" s="8"/>
      <c r="AI483" s="8"/>
      <c r="AJ483" s="8"/>
      <c r="AK483" s="8"/>
      <c r="AL483" s="8"/>
      <c r="AM483" s="7"/>
      <c r="AN483" s="7"/>
      <c r="AO483" s="7"/>
      <c r="AP483" s="7"/>
    </row>
    <row r="484" spans="1:42">
      <c r="A484" s="8"/>
      <c r="B484" s="8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8"/>
      <c r="AG484" s="8"/>
      <c r="AH484" s="8"/>
      <c r="AI484" s="8"/>
      <c r="AJ484" s="8"/>
      <c r="AK484" s="8"/>
      <c r="AL484" s="8"/>
      <c r="AM484" s="7"/>
      <c r="AN484" s="7"/>
      <c r="AO484" s="7"/>
      <c r="AP484" s="7"/>
    </row>
    <row r="485" spans="1:42">
      <c r="A485" s="8"/>
      <c r="B485" s="8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8"/>
      <c r="AG485" s="8"/>
      <c r="AH485" s="8"/>
      <c r="AI485" s="8"/>
      <c r="AJ485" s="8"/>
      <c r="AK485" s="8"/>
      <c r="AL485" s="8"/>
      <c r="AM485" s="7"/>
      <c r="AN485" s="7"/>
      <c r="AO485" s="7"/>
      <c r="AP485" s="7"/>
    </row>
    <row r="486" spans="1:42">
      <c r="A486" s="8"/>
      <c r="B486" s="8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8"/>
      <c r="AG486" s="8"/>
      <c r="AH486" s="8"/>
      <c r="AI486" s="8"/>
      <c r="AJ486" s="8"/>
      <c r="AK486" s="8"/>
      <c r="AL486" s="8"/>
      <c r="AM486" s="7"/>
      <c r="AN486" s="7"/>
      <c r="AO486" s="7"/>
      <c r="AP486" s="7"/>
    </row>
    <row r="487" spans="1:42">
      <c r="A487" s="8"/>
      <c r="B487" s="8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9"/>
      <c r="AG487" s="9"/>
      <c r="AH487" s="9"/>
      <c r="AI487" s="9"/>
      <c r="AJ487" s="9"/>
      <c r="AK487" s="9"/>
      <c r="AL487" s="9"/>
    </row>
    <row r="488" spans="1:42">
      <c r="A488" s="8"/>
      <c r="B488" s="8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9"/>
      <c r="AG488" s="9"/>
      <c r="AH488" s="9"/>
      <c r="AI488" s="9"/>
      <c r="AJ488" s="9"/>
      <c r="AK488" s="9"/>
      <c r="AL488" s="9"/>
    </row>
    <row r="489" spans="1:42">
      <c r="A489" s="8"/>
      <c r="B489" s="8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9"/>
      <c r="AG489" s="9"/>
      <c r="AH489" s="9"/>
      <c r="AI489" s="9"/>
      <c r="AJ489" s="9"/>
      <c r="AK489" s="9"/>
      <c r="AL489" s="9"/>
    </row>
    <row r="490" spans="1:42">
      <c r="A490" s="8"/>
      <c r="B490" s="8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9"/>
      <c r="AG490" s="9"/>
      <c r="AH490" s="9"/>
      <c r="AI490" s="9"/>
      <c r="AJ490" s="9"/>
      <c r="AK490" s="9"/>
      <c r="AL490" s="9"/>
    </row>
    <row r="491" spans="1:42">
      <c r="A491" s="8"/>
      <c r="B491" s="8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9"/>
      <c r="AG491" s="9"/>
      <c r="AH491" s="9"/>
      <c r="AI491" s="9"/>
      <c r="AJ491" s="9"/>
      <c r="AK491" s="9"/>
      <c r="AL491" s="9"/>
    </row>
    <row r="492" spans="1:42">
      <c r="A492" s="8"/>
      <c r="B492" s="8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9"/>
      <c r="AG492" s="9"/>
      <c r="AH492" s="9"/>
      <c r="AI492" s="9"/>
      <c r="AJ492" s="9"/>
      <c r="AK492" s="9"/>
      <c r="AL492" s="9"/>
    </row>
    <row r="493" spans="1:42">
      <c r="A493" s="8"/>
      <c r="B493" s="8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9"/>
      <c r="AG493" s="9"/>
      <c r="AH493" s="9"/>
      <c r="AI493" s="9"/>
      <c r="AJ493" s="9"/>
      <c r="AK493" s="9"/>
      <c r="AL493" s="9"/>
    </row>
    <row r="494" spans="1:42">
      <c r="A494" s="8"/>
      <c r="B494" s="8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9"/>
      <c r="AG494" s="9"/>
      <c r="AH494" s="9"/>
      <c r="AI494" s="9"/>
      <c r="AJ494" s="9"/>
      <c r="AK494" s="9"/>
      <c r="AL494" s="9"/>
    </row>
    <row r="495" spans="1:42">
      <c r="A495" s="8"/>
      <c r="B495" s="8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9"/>
      <c r="AG495" s="9"/>
      <c r="AH495" s="9"/>
      <c r="AI495" s="9"/>
      <c r="AJ495" s="9"/>
      <c r="AK495" s="9"/>
      <c r="AL495" s="9"/>
    </row>
    <row r="496" spans="1:42">
      <c r="A496" s="8"/>
      <c r="B496" s="8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9"/>
      <c r="AG496" s="9"/>
      <c r="AH496" s="9"/>
      <c r="AI496" s="9"/>
      <c r="AJ496" s="9"/>
      <c r="AK496" s="9"/>
      <c r="AL496" s="9"/>
    </row>
    <row r="497" spans="1:38">
      <c r="A497" s="8"/>
      <c r="B497" s="8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9"/>
      <c r="AG497" s="9"/>
      <c r="AH497" s="9"/>
      <c r="AI497" s="9"/>
      <c r="AJ497" s="9"/>
      <c r="AK497" s="9"/>
      <c r="AL497" s="9"/>
    </row>
    <row r="498" spans="1:38">
      <c r="A498" s="8"/>
      <c r="B498" s="8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9"/>
      <c r="AG498" s="9"/>
      <c r="AH498" s="9"/>
      <c r="AI498" s="9"/>
      <c r="AJ498" s="9"/>
      <c r="AK498" s="9"/>
      <c r="AL498" s="9"/>
    </row>
    <row r="499" spans="1:38">
      <c r="A499" s="8"/>
      <c r="B499" s="8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9"/>
      <c r="AG499" s="9"/>
      <c r="AH499" s="9"/>
      <c r="AI499" s="9"/>
      <c r="AJ499" s="9"/>
      <c r="AK499" s="9"/>
      <c r="AL499" s="9"/>
    </row>
    <row r="500" spans="1:38">
      <c r="A500" s="8"/>
      <c r="B500" s="8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9"/>
      <c r="AG500" s="9"/>
      <c r="AH500" s="9"/>
      <c r="AI500" s="9"/>
      <c r="AJ500" s="9"/>
      <c r="AK500" s="9"/>
      <c r="AL500" s="9"/>
    </row>
    <row r="501" spans="1:38">
      <c r="A501" s="8"/>
      <c r="B501" s="8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9"/>
      <c r="AG501" s="9"/>
      <c r="AH501" s="9"/>
      <c r="AI501" s="9"/>
      <c r="AJ501" s="9"/>
      <c r="AK501" s="9"/>
      <c r="AL501" s="9"/>
    </row>
    <row r="502" spans="1:38">
      <c r="A502" s="8"/>
      <c r="B502" s="8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9"/>
      <c r="AG502" s="9"/>
      <c r="AH502" s="9"/>
      <c r="AI502" s="9"/>
      <c r="AJ502" s="9"/>
      <c r="AK502" s="9"/>
      <c r="AL502" s="9"/>
    </row>
    <row r="503" spans="1:38">
      <c r="A503" s="8"/>
      <c r="B503" s="8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9"/>
      <c r="AG503" s="9"/>
      <c r="AH503" s="9"/>
      <c r="AI503" s="9"/>
      <c r="AJ503" s="9"/>
      <c r="AK503" s="9"/>
      <c r="AL503" s="9"/>
    </row>
    <row r="504" spans="1:38">
      <c r="A504" s="8"/>
      <c r="B504" s="8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9"/>
      <c r="AG504" s="9"/>
      <c r="AH504" s="9"/>
      <c r="AI504" s="9"/>
      <c r="AJ504" s="9"/>
      <c r="AK504" s="9"/>
      <c r="AL504" s="9"/>
    </row>
    <row r="505" spans="1:38">
      <c r="A505" s="8"/>
      <c r="B505" s="8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9"/>
      <c r="AG505" s="9"/>
      <c r="AH505" s="9"/>
      <c r="AI505" s="9"/>
      <c r="AJ505" s="9"/>
      <c r="AK505" s="9"/>
      <c r="AL505" s="9"/>
    </row>
    <row r="506" spans="1:38">
      <c r="A506" s="8"/>
      <c r="B506" s="8"/>
      <c r="C506" s="13"/>
      <c r="D506" s="13"/>
      <c r="E506" s="13"/>
      <c r="F506" s="13"/>
      <c r="G506" s="13"/>
      <c r="H506" s="13"/>
      <c r="I506" s="12"/>
      <c r="J506" s="12"/>
      <c r="K506" s="12"/>
      <c r="L506" s="12"/>
      <c r="M506" s="13"/>
      <c r="N506" s="13"/>
      <c r="O506" s="13"/>
      <c r="P506" s="13"/>
      <c r="Q506" s="13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9"/>
      <c r="AG506" s="9"/>
      <c r="AH506" s="9"/>
      <c r="AI506" s="9"/>
      <c r="AJ506" s="9"/>
      <c r="AK506" s="9"/>
      <c r="AL506" s="9"/>
    </row>
    <row r="507" spans="1:38">
      <c r="A507" s="8"/>
      <c r="B507" s="8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3"/>
      <c r="Q507" s="13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9"/>
      <c r="AG507" s="9"/>
      <c r="AH507" s="9"/>
      <c r="AI507" s="9"/>
      <c r="AJ507" s="9"/>
      <c r="AK507" s="9"/>
      <c r="AL507" s="9"/>
    </row>
    <row r="508" spans="1:38">
      <c r="A508" s="8"/>
      <c r="B508" s="8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3"/>
      <c r="Q508" s="13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9"/>
      <c r="AG508" s="9"/>
      <c r="AH508" s="9"/>
      <c r="AI508" s="9"/>
      <c r="AJ508" s="9"/>
      <c r="AK508" s="9"/>
      <c r="AL508" s="9"/>
    </row>
    <row r="509" spans="1:38">
      <c r="A509" s="8"/>
      <c r="B509" s="8"/>
      <c r="C509" s="12"/>
      <c r="D509" s="12"/>
      <c r="E509" s="12"/>
      <c r="F509" s="12"/>
      <c r="G509" s="12"/>
      <c r="H509" s="12"/>
      <c r="I509" s="12"/>
      <c r="J509" s="12"/>
      <c r="K509" s="12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 s="12"/>
      <c r="AB509" s="12"/>
      <c r="AC509" s="12"/>
      <c r="AD509" s="12"/>
      <c r="AE509" s="12"/>
      <c r="AF509" s="9"/>
      <c r="AG509" s="9"/>
      <c r="AH509" s="9"/>
      <c r="AI509" s="9"/>
      <c r="AJ509" s="9"/>
      <c r="AK509" s="9"/>
      <c r="AL509" s="9"/>
    </row>
    <row r="510" spans="1:38">
      <c r="A510" s="8"/>
      <c r="B510" s="8"/>
      <c r="C510" s="12"/>
      <c r="D510" s="12"/>
      <c r="E510" s="12"/>
      <c r="F510" s="12"/>
      <c r="G510" s="12"/>
      <c r="H510" s="12"/>
      <c r="I510" s="12"/>
      <c r="J510" s="12"/>
      <c r="K510" s="12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 s="12"/>
      <c r="AB510" s="12"/>
      <c r="AC510" s="12"/>
      <c r="AD510" s="12"/>
      <c r="AE510" s="12"/>
      <c r="AF510" s="9"/>
      <c r="AG510" s="9"/>
      <c r="AH510" s="9"/>
      <c r="AI510" s="9"/>
      <c r="AJ510" s="9"/>
      <c r="AK510" s="9"/>
      <c r="AL510" s="9"/>
    </row>
    <row r="511" spans="1:38">
      <c r="A511" s="8"/>
      <c r="B511" s="8"/>
      <c r="C511" s="9"/>
      <c r="D511" s="9"/>
      <c r="E511" s="9"/>
      <c r="F511" s="9"/>
      <c r="G511" s="9"/>
      <c r="H511" s="9"/>
      <c r="I511" s="9"/>
      <c r="J511" s="9"/>
      <c r="K511" s="9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 s="9"/>
      <c r="AB511" s="9"/>
      <c r="AC511" s="9"/>
      <c r="AD511" s="9"/>
      <c r="AE511" s="9"/>
      <c r="AF511" s="9"/>
      <c r="AG511" s="9"/>
      <c r="AH511" s="9"/>
      <c r="AI511" s="9"/>
      <c r="AJ511" s="9"/>
      <c r="AK511" s="9"/>
      <c r="AL511" s="9"/>
    </row>
    <row r="512" spans="1:38">
      <c r="A512" s="8"/>
      <c r="B512" s="8"/>
      <c r="C512" s="9"/>
      <c r="D512" s="9"/>
      <c r="E512" s="9"/>
      <c r="F512" s="9"/>
      <c r="G512" s="9"/>
      <c r="H512" s="9"/>
      <c r="I512" s="9"/>
      <c r="J512" s="9"/>
      <c r="K512" s="9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 s="9"/>
      <c r="AB512" s="9"/>
      <c r="AC512" s="9"/>
      <c r="AD512" s="9"/>
      <c r="AE512" s="9"/>
      <c r="AF512" s="9"/>
      <c r="AG512" s="9"/>
      <c r="AH512" s="9"/>
      <c r="AI512" s="9"/>
      <c r="AJ512" s="9"/>
      <c r="AK512" s="9"/>
      <c r="AL512" s="9"/>
    </row>
    <row r="513" spans="1:26">
      <c r="A513" s="7"/>
      <c r="B513" s="7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</row>
    <row r="514" spans="1:26">
      <c r="A514" s="7"/>
      <c r="B514" s="7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</row>
    <row r="515" spans="1:26">
      <c r="A515" s="7"/>
      <c r="B515" s="7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</row>
    <row r="516" spans="1:26">
      <c r="A516" s="7"/>
      <c r="B516" s="7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</row>
    <row r="517" spans="1:26"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</row>
    <row r="518" spans="1:26"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</row>
    <row r="519" spans="1:26"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</row>
    <row r="520" spans="1:26">
      <c r="L520"/>
      <c r="M520"/>
      <c r="N520"/>
      <c r="O520"/>
      <c r="P520"/>
      <c r="Q520"/>
      <c r="R520"/>
      <c r="S520"/>
      <c r="T520"/>
      <c r="U520"/>
      <c r="V520"/>
      <c r="W520"/>
      <c r="X520"/>
      <c r="Y520"/>
      <c r="Z520"/>
    </row>
    <row r="521" spans="1:26">
      <c r="L521"/>
      <c r="M521"/>
      <c r="N521"/>
      <c r="O521"/>
      <c r="P521"/>
      <c r="Q521"/>
      <c r="R521"/>
      <c r="S521"/>
      <c r="T521"/>
      <c r="U521"/>
      <c r="V521"/>
      <c r="W521"/>
      <c r="X521"/>
      <c r="Y521"/>
      <c r="Z521"/>
    </row>
    <row r="522" spans="1:26">
      <c r="L522"/>
      <c r="M522"/>
      <c r="N522"/>
      <c r="O522"/>
      <c r="P522"/>
      <c r="Q522"/>
      <c r="R522"/>
      <c r="S522"/>
      <c r="T522"/>
      <c r="U522"/>
      <c r="V522"/>
      <c r="W522"/>
      <c r="X522"/>
      <c r="Y522"/>
      <c r="Z522"/>
    </row>
    <row r="1000" spans="1:7">
      <c r="A1000"/>
      <c r="B1000"/>
      <c r="C1000"/>
      <c r="D1000"/>
      <c r="E1000"/>
      <c r="F1000"/>
      <c r="G1000"/>
    </row>
  </sheetData>
  <sheetProtection formatCells="0" formatColumns="0" formatRows="0" insertColumns="0" insertRows="0" insertHyperlinks="0" deleteColumns="0" deleteRows="0" selectLockedCells="1"/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  <ignoredErrors>
    <ignoredError sqref="R4 Q9:R9 E4:F4 M4:N4 I4:J4" evalError="1"/>
    <ignoredError sqref="Q8 Q3 B10 F18 E18 I9:J9 I11:J11 I15:J15 I17:J17 J21 I21 E8 E13 F13 F8 I23 J23" unlockedFormula="1"/>
    <ignoredError sqref="Q4 I16:J16 I10:J10 E9:F9 I22:J22 E19:F19 E14:F14" evalError="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2">
    <tabColor theme="0" tint="-4.9989318521683403E-2"/>
  </sheetPr>
  <dimension ref="A1:BA219"/>
  <sheetViews>
    <sheetView workbookViewId="0"/>
  </sheetViews>
  <sheetFormatPr defaultRowHeight="12.75"/>
  <cols>
    <col min="1" max="1" width="15.7109375" customWidth="1"/>
    <col min="2" max="3" width="8.7109375" customWidth="1"/>
    <col min="4" max="4" width="15.7109375" customWidth="1"/>
    <col min="5" max="7" width="8.7109375" customWidth="1"/>
    <col min="8" max="8" width="21.7109375" customWidth="1"/>
    <col min="9" max="10" width="10.7109375" customWidth="1"/>
    <col min="11" max="13" width="8.7109375" customWidth="1"/>
    <col min="14" max="14" width="0.85546875" customWidth="1"/>
    <col min="15" max="15" width="15.7109375" customWidth="1"/>
    <col min="16" max="17" width="8.7109375" customWidth="1"/>
    <col min="18" max="18" width="15.7109375" customWidth="1"/>
    <col min="19" max="21" width="8.7109375" customWidth="1"/>
    <col min="22" max="22" width="21.7109375" customWidth="1"/>
    <col min="23" max="24" width="10.7109375" customWidth="1"/>
    <col min="25" max="25" width="8.7109375" customWidth="1"/>
    <col min="26" max="26" width="10.140625" customWidth="1"/>
    <col min="28" max="28" width="0.85546875" customWidth="1"/>
    <col min="29" max="29" width="15.7109375" customWidth="1"/>
    <col min="30" max="31" width="8.7109375" customWidth="1"/>
    <col min="32" max="32" width="15.7109375" customWidth="1"/>
    <col min="33" max="35" width="8.7109375" customWidth="1"/>
    <col min="36" max="36" width="21.7109375" customWidth="1"/>
    <col min="37" max="38" width="10.7109375" customWidth="1"/>
    <col min="39" max="40" width="8.7109375" customWidth="1"/>
    <col min="41" max="41" width="0.85546875" customWidth="1"/>
    <col min="42" max="42" width="15.7109375" customWidth="1"/>
    <col min="43" max="44" width="8.7109375" customWidth="1"/>
    <col min="45" max="45" width="15.7109375" customWidth="1"/>
    <col min="46" max="48" width="8.7109375" customWidth="1"/>
    <col min="49" max="49" width="21.7109375" customWidth="1"/>
    <col min="50" max="51" width="10.7109375" customWidth="1"/>
    <col min="52" max="53" width="8.7109375" customWidth="1"/>
  </cols>
  <sheetData>
    <row r="1" spans="1:53" ht="13.5" thickBot="1">
      <c r="A1" s="89" t="s">
        <v>46</v>
      </c>
      <c r="B1" s="31"/>
      <c r="C1" s="31"/>
      <c r="D1" s="163" t="s">
        <v>0</v>
      </c>
      <c r="E1" s="164"/>
      <c r="F1" s="31"/>
      <c r="G1" s="31"/>
      <c r="H1" s="163" t="s">
        <v>1</v>
      </c>
      <c r="I1" s="164"/>
      <c r="J1" s="31"/>
      <c r="K1" s="57" t="s">
        <v>3</v>
      </c>
      <c r="L1" s="58">
        <f>SIN(RADIANS('Drive 266'!B4))</f>
        <v>0.9975640502598242</v>
      </c>
      <c r="M1" s="6"/>
      <c r="N1" s="54"/>
      <c r="O1" s="89" t="s">
        <v>47</v>
      </c>
      <c r="P1" s="31"/>
      <c r="Q1" s="31"/>
      <c r="R1" s="163" t="s">
        <v>0</v>
      </c>
      <c r="S1" s="164"/>
      <c r="T1" s="31"/>
      <c r="U1" s="31"/>
      <c r="V1" s="163" t="s">
        <v>1</v>
      </c>
      <c r="W1" s="164"/>
      <c r="X1" s="31"/>
      <c r="Y1" s="31"/>
      <c r="Z1" s="31"/>
      <c r="AA1" s="31"/>
      <c r="AB1" s="54"/>
      <c r="AC1" s="89" t="s">
        <v>48</v>
      </c>
      <c r="AD1" s="31"/>
      <c r="AE1" s="31"/>
      <c r="AF1" s="163" t="s">
        <v>0</v>
      </c>
      <c r="AG1" s="164"/>
      <c r="AH1" s="31"/>
      <c r="AI1" s="31"/>
      <c r="AJ1" s="163" t="s">
        <v>1</v>
      </c>
      <c r="AK1" s="164"/>
      <c r="AL1" s="31"/>
      <c r="AO1" s="27"/>
      <c r="AP1" s="169" t="s">
        <v>56</v>
      </c>
      <c r="AQ1" s="169"/>
      <c r="AR1" s="31"/>
      <c r="AS1" s="163" t="s">
        <v>0</v>
      </c>
      <c r="AT1" s="164"/>
      <c r="AU1" s="31"/>
      <c r="AV1" s="31"/>
      <c r="AW1" s="163" t="s">
        <v>1</v>
      </c>
      <c r="AX1" s="164"/>
      <c r="AY1" s="31"/>
    </row>
    <row r="2" spans="1:53" ht="13.5" thickBot="1">
      <c r="A2" s="55" t="s">
        <v>28</v>
      </c>
      <c r="B2" s="56">
        <f>('Drive 266'!$B$3*Cálculos!$L$1)</f>
        <v>9.9756405025982424</v>
      </c>
      <c r="C2" s="6"/>
      <c r="D2" s="87" t="s">
        <v>4</v>
      </c>
      <c r="E2" s="61">
        <f>IF('Drive 266'!$B$2&gt;0,'Drive 266'!$B$2*E4,'Drive 266'!$B$2*E5)</f>
        <v>-14.410597004986949</v>
      </c>
      <c r="F2" s="31"/>
      <c r="G2" s="31"/>
      <c r="H2" s="99" t="s">
        <v>37</v>
      </c>
      <c r="I2" s="61">
        <f>'Drive 266'!$B$3*Cálculos!$L$2*B3</f>
        <v>0.45744803918185506</v>
      </c>
      <c r="J2" s="31"/>
      <c r="K2" s="57" t="s">
        <v>2</v>
      </c>
      <c r="L2" s="62">
        <f>COS(RADIANS('Drive 266'!B4))</f>
        <v>6.9756473744125233E-2</v>
      </c>
      <c r="M2" s="31"/>
      <c r="N2" s="54"/>
      <c r="O2" s="55" t="s">
        <v>28</v>
      </c>
      <c r="P2" s="56">
        <f>('Drive 266'!$B$3*Cálculos!$L$1)</f>
        <v>9.9756405025982424</v>
      </c>
      <c r="Q2" s="6"/>
      <c r="R2" s="87" t="s">
        <v>4</v>
      </c>
      <c r="S2" s="61">
        <f>IF('Drive 266'!$B$2&gt;0,'Drive 266'!$B$2*S4,'Drive 266'!$B$2*S5)</f>
        <v>-11.306329619665638</v>
      </c>
      <c r="T2" s="31"/>
      <c r="U2" s="31"/>
      <c r="V2" s="50" t="s">
        <v>37</v>
      </c>
      <c r="W2" s="61">
        <f>'Drive 266'!$B$3*Cálculos!$L$2*P3</f>
        <v>0.56565000802998355</v>
      </c>
      <c r="X2" s="31"/>
      <c r="Y2" s="31"/>
      <c r="Z2" s="31"/>
      <c r="AA2" s="31"/>
      <c r="AB2" s="54"/>
      <c r="AC2" s="55" t="s">
        <v>28</v>
      </c>
      <c r="AD2" s="56">
        <f>('Drive 266'!$B$3*Cálculos!$L$1)</f>
        <v>9.9756405025982424</v>
      </c>
      <c r="AE2" s="6"/>
      <c r="AF2" s="87" t="s">
        <v>4</v>
      </c>
      <c r="AG2" s="61">
        <f>IF('Drive 266'!$B$2&gt;0,'Drive 266'!$B$2*AG4,'Drive 266'!$B$2*AG5)</f>
        <v>-9.0523086051247379</v>
      </c>
      <c r="AH2" s="31"/>
      <c r="AI2" s="31"/>
      <c r="AJ2" s="99" t="s">
        <v>37</v>
      </c>
      <c r="AK2" s="61">
        <f>'Drive 266'!$B$3*Cálculos!$L$2*AD3</f>
        <v>0.71895440423049972</v>
      </c>
      <c r="AL2" s="31"/>
      <c r="AO2" s="27"/>
      <c r="AP2" s="55" t="s">
        <v>28</v>
      </c>
      <c r="AQ2" s="56">
        <f>('Drive 266'!$B$3*Cálculos!$L$1)</f>
        <v>9.9756405025982424</v>
      </c>
      <c r="AR2" s="89"/>
      <c r="AS2" s="87" t="s">
        <v>4</v>
      </c>
      <c r="AT2" s="61">
        <f>IF('Drive 266'!$B$2&gt;0,'Drive 266'!$B$2*AT4,'Drive 266'!$B$2*AT5)</f>
        <v>-15.297862879135231</v>
      </c>
      <c r="AU2" s="31"/>
      <c r="AV2" s="31"/>
      <c r="AW2" s="126" t="s">
        <v>37</v>
      </c>
      <c r="AX2" s="61">
        <f>'Drive 266'!$B$3*Cálculos!$L$2*AQ3</f>
        <v>0.41711637746133529</v>
      </c>
      <c r="AY2" s="31"/>
    </row>
    <row r="3" spans="1:53">
      <c r="A3" s="59" t="s">
        <v>17</v>
      </c>
      <c r="B3" s="60">
        <f>F10*($P$41-E11)*($P$41-E12)/((E10-E11)*(E10-E12))+F11*($P$41-E10)*($P$41-E12)/((E11-E10)*(E11-E12))+F12*($P$41-E10)*($P$41-E11)/((E12-E10)*(E12-E11))</f>
        <v>0.65577861756577183</v>
      </c>
      <c r="C3" s="6"/>
      <c r="D3" s="87"/>
      <c r="E3" s="63"/>
      <c r="F3" s="31"/>
      <c r="G3" s="31"/>
      <c r="H3" s="99" t="s">
        <v>38</v>
      </c>
      <c r="I3" s="61">
        <f>$L$2*'Drive 266'!$B$3*B3*1*(1-(E2*0.015))</f>
        <v>0.55632952933242297</v>
      </c>
      <c r="J3" s="31"/>
      <c r="M3" s="31"/>
      <c r="N3" s="54"/>
      <c r="O3" s="59" t="s">
        <v>17</v>
      </c>
      <c r="P3" s="60">
        <f>T10*($P$41-S11)*($P$41-S12)/((S10-S11)*(S10-S12))+T11*($P$41-S10)*($P$41-S12)/((S11-S10)*(S11-S12))+T12*($P$41-S10)*($P$41-S11)/((S12-S10)*(S12-S11))</f>
        <v>0.81089249164866439</v>
      </c>
      <c r="Q3" s="6"/>
      <c r="R3" s="87"/>
      <c r="S3" s="63"/>
      <c r="T3" s="31"/>
      <c r="U3" s="31"/>
      <c r="V3" s="50" t="s">
        <v>38</v>
      </c>
      <c r="W3" s="61">
        <f>$L$2*'Drive 266'!$B$3*P3*1*(1-(S2*0.015))</f>
        <v>0.66158138963228608</v>
      </c>
      <c r="X3" s="31"/>
      <c r="Y3" s="31"/>
      <c r="Z3" s="31"/>
      <c r="AA3" s="31"/>
      <c r="AB3" s="54"/>
      <c r="AC3" s="59" t="s">
        <v>17</v>
      </c>
      <c r="AD3" s="60">
        <f>AH10*($P$41-AG11)*($P$41-AG12)/((AG10-AG11)*(AG10-AG12))+AH11*($P$41-AG10)*($P$41-AG12)/((AG11-AG10)*(AG11-AG12))+AH12*($P$41-AG10)*($P$41-AG11)/((AG12-AG10)*(AG12-AG11))</f>
        <v>1.0306633429718755</v>
      </c>
      <c r="AE3" s="6"/>
      <c r="AF3" s="87"/>
      <c r="AG3" s="63"/>
      <c r="AH3" s="31"/>
      <c r="AI3" s="31"/>
      <c r="AJ3" s="99" t="s">
        <v>38</v>
      </c>
      <c r="AK3" s="61">
        <f>$L$2*'Drive 266'!$B$3*AD3*1*(1-(AG2*0.015))</f>
        <v>0.816577361332121</v>
      </c>
      <c r="AL3" s="31"/>
      <c r="AO3" s="27"/>
      <c r="AP3" s="59" t="s">
        <v>17</v>
      </c>
      <c r="AQ3" s="60">
        <f>AU10*($P$41-AT11)*($P$41-AT12)/((AT10-AT11)*(AT10-AT12))+AU11*($P$41-AT10)*($P$41-AT12)/((AT11-AT10)*(AT11-AT12))+AU12*($P$41-AT10)*($P$41-AT11)/((AT12-AT10)*(AT12-AT11))</f>
        <v>0.59796081291517988</v>
      </c>
      <c r="AR3" s="89"/>
      <c r="AS3" s="87"/>
      <c r="AT3" s="63"/>
      <c r="AU3" s="31"/>
      <c r="AV3" s="31"/>
      <c r="AW3" s="126" t="s">
        <v>38</v>
      </c>
      <c r="AX3" s="61">
        <f>$L$2*'Drive 266'!$B$3*AQ3*1*(1-(AT2*0.015))</f>
        <v>0.51283121466701209</v>
      </c>
      <c r="AY3" s="31"/>
    </row>
    <row r="4" spans="1:53">
      <c r="A4" s="64" t="s">
        <v>34</v>
      </c>
      <c r="B4" s="61">
        <f>B2*B3</f>
        <v>6.5418117381269969</v>
      </c>
      <c r="C4" s="6"/>
      <c r="D4" s="65" t="s">
        <v>42</v>
      </c>
      <c r="E4" s="66">
        <f>1.615*POWER(1.012,E12-$P$41)</f>
        <v>1.2113520265397786</v>
      </c>
      <c r="F4" s="31"/>
      <c r="G4" s="31"/>
      <c r="H4" s="99" t="s">
        <v>39</v>
      </c>
      <c r="I4" s="61">
        <f>$L$2*'Drive 266'!$B$3*B3*1.22*(1-(E2*0.015))</f>
        <v>0.67872202578555596</v>
      </c>
      <c r="J4" s="31"/>
      <c r="K4" s="31"/>
      <c r="L4" s="31"/>
      <c r="M4" s="6"/>
      <c r="N4" s="54"/>
      <c r="O4" s="64" t="s">
        <v>34</v>
      </c>
      <c r="P4" s="61">
        <f>P2*P3</f>
        <v>8.089171982943224</v>
      </c>
      <c r="Q4" s="6"/>
      <c r="R4" s="65" t="s">
        <v>42</v>
      </c>
      <c r="S4" s="66">
        <f>1.33*POWER(1.0113,S12-$P$41)</f>
        <v>0.90604672233914874</v>
      </c>
      <c r="T4" s="89"/>
      <c r="U4" s="31"/>
      <c r="V4" s="50" t="s">
        <v>39</v>
      </c>
      <c r="W4" s="61">
        <f>$L$2*'Drive 266'!$B$3*P3*1.22*(1-(S2*0.015))</f>
        <v>0.80712929535138911</v>
      </c>
      <c r="X4" s="31"/>
      <c r="Y4" s="31"/>
      <c r="Z4" s="31"/>
      <c r="AA4" s="31"/>
      <c r="AB4" s="54"/>
      <c r="AC4" s="64" t="s">
        <v>34</v>
      </c>
      <c r="AD4" s="61">
        <f>AD2*AD3</f>
        <v>10.281526988693544</v>
      </c>
      <c r="AE4" s="6"/>
      <c r="AF4" s="65" t="s">
        <v>42</v>
      </c>
      <c r="AG4" s="66">
        <f>1.185*POWER(1.01138,AG12-$P$41)</f>
        <v>0.7011166434506565</v>
      </c>
      <c r="AH4" s="89"/>
      <c r="AI4" s="89"/>
      <c r="AJ4" s="99" t="s">
        <v>39</v>
      </c>
      <c r="AK4" s="61">
        <f>$L$2*'Drive 266'!$B$3*AD3*1.22*(1-(AG2*0.015))</f>
        <v>0.99622438082518761</v>
      </c>
      <c r="AL4" s="31"/>
      <c r="AO4" s="27"/>
      <c r="AP4" s="64" t="s">
        <v>34</v>
      </c>
      <c r="AQ4" s="61">
        <f>AQ2*AQ3</f>
        <v>5.9650421042832384</v>
      </c>
      <c r="AR4" s="89"/>
      <c r="AS4" s="65" t="s">
        <v>42</v>
      </c>
      <c r="AT4" s="66">
        <f>1.6*POWER(1.0114,AT12-$P$41)</f>
        <v>1.328266303330268</v>
      </c>
      <c r="AU4" s="31"/>
      <c r="AV4" s="31"/>
      <c r="AW4" s="126" t="s">
        <v>39</v>
      </c>
      <c r="AX4" s="61">
        <f>$L$2*'Drive 266'!$B$3*AQ3*1.22*(1-(AT2*0.015))</f>
        <v>0.62565408189375482</v>
      </c>
      <c r="AY4" s="31"/>
    </row>
    <row r="5" spans="1:53">
      <c r="A5" s="50" t="s">
        <v>29</v>
      </c>
      <c r="B5" s="61">
        <f>B4*E7</f>
        <v>6.8560497802624676</v>
      </c>
      <c r="C5" s="6"/>
      <c r="D5" s="67" t="s">
        <v>43</v>
      </c>
      <c r="E5" s="68">
        <f>0.655*POWER(1.01047,E10-$P$41)</f>
        <v>0.99383427620599651</v>
      </c>
      <c r="F5" s="31"/>
      <c r="G5" s="31"/>
      <c r="H5" s="165" t="s">
        <v>40</v>
      </c>
      <c r="I5" s="60">
        <f>(100+(I3/-1.9))/100</f>
        <v>0.99707194984561875</v>
      </c>
      <c r="J5" s="31"/>
      <c r="K5" s="31"/>
      <c r="L5" s="31"/>
      <c r="M5" s="6"/>
      <c r="N5" s="54"/>
      <c r="O5" s="50" t="s">
        <v>29</v>
      </c>
      <c r="P5" s="61">
        <f>P4*S7</f>
        <v>8.3940347989076258</v>
      </c>
      <c r="Q5" s="6"/>
      <c r="R5" s="67" t="s">
        <v>43</v>
      </c>
      <c r="S5" s="68">
        <f>0.612*POWER(1.01023,S10-$P$41)</f>
        <v>0.77974687032176815</v>
      </c>
      <c r="T5" s="31"/>
      <c r="U5" s="31"/>
      <c r="V5" s="165" t="s">
        <v>40</v>
      </c>
      <c r="W5" s="60">
        <f>(100+(W3/-1.9))/100</f>
        <v>0.99651799268614583</v>
      </c>
      <c r="X5" s="31"/>
      <c r="Y5" s="31"/>
      <c r="Z5" s="31"/>
      <c r="AA5" s="31"/>
      <c r="AB5" s="54"/>
      <c r="AC5" s="50" t="s">
        <v>29</v>
      </c>
      <c r="AD5" s="61">
        <f>AD4*AG7</f>
        <v>10.746884764861409</v>
      </c>
      <c r="AE5" s="6"/>
      <c r="AF5" s="67" t="s">
        <v>43</v>
      </c>
      <c r="AG5" s="68">
        <f>0.588*POWER(1.00933,AG10-$P$41)</f>
        <v>0.62429714518101642</v>
      </c>
      <c r="AH5" s="31"/>
      <c r="AI5" s="31"/>
      <c r="AJ5" s="165" t="s">
        <v>40</v>
      </c>
      <c r="AK5" s="60">
        <f>(100+(AK3/-1.9))/100</f>
        <v>0.99570222441404144</v>
      </c>
      <c r="AL5" s="31"/>
      <c r="AO5" s="27"/>
      <c r="AP5" s="126" t="s">
        <v>29</v>
      </c>
      <c r="AQ5" s="61">
        <f>AQ4*AT7</f>
        <v>6.4213040851812053</v>
      </c>
      <c r="AR5" s="89"/>
      <c r="AS5" s="67" t="s">
        <v>43</v>
      </c>
      <c r="AT5" s="68">
        <f>0.657*POWER(1.01,AT10-$P$41)</f>
        <v>1.0550250261472573</v>
      </c>
      <c r="AU5" s="31"/>
      <c r="AV5" s="89"/>
      <c r="AW5" s="165" t="s">
        <v>40</v>
      </c>
      <c r="AX5" s="60">
        <f>(100+(AX3/-1.9))/100</f>
        <v>0.99730088834385777</v>
      </c>
      <c r="AY5" s="31"/>
    </row>
    <row r="6" spans="1:53" ht="13.5" thickBot="1">
      <c r="A6" s="52"/>
      <c r="B6" s="63"/>
      <c r="C6" s="6"/>
      <c r="D6" s="87"/>
      <c r="E6" s="63"/>
      <c r="F6" s="31"/>
      <c r="G6" s="31"/>
      <c r="H6" s="166"/>
      <c r="I6" s="71">
        <f>(100+(I4/-1.9))/100</f>
        <v>0.99642777881165501</v>
      </c>
      <c r="J6" s="31"/>
      <c r="K6" s="31"/>
      <c r="L6" s="31"/>
      <c r="M6" s="6"/>
      <c r="N6" s="54"/>
      <c r="O6" s="52"/>
      <c r="P6" s="63"/>
      <c r="Q6" s="6"/>
      <c r="R6" s="87"/>
      <c r="S6" s="63"/>
      <c r="T6" s="31"/>
      <c r="U6" s="31"/>
      <c r="V6" s="166"/>
      <c r="W6" s="71">
        <f>(100+(W4/-1.9))/100</f>
        <v>0.99575195107709791</v>
      </c>
      <c r="X6" s="31"/>
      <c r="Y6" s="31"/>
      <c r="Z6" s="31"/>
      <c r="AA6" s="31"/>
      <c r="AB6" s="54"/>
      <c r="AC6" s="52"/>
      <c r="AD6" s="63"/>
      <c r="AE6" s="6"/>
      <c r="AF6" s="87"/>
      <c r="AG6" s="63"/>
      <c r="AH6" s="31"/>
      <c r="AI6" s="31"/>
      <c r="AJ6" s="166"/>
      <c r="AK6" s="71">
        <f>(100+(AK4/-1.9))/100</f>
        <v>0.99475671378513053</v>
      </c>
      <c r="AL6" s="31"/>
      <c r="AO6" s="27"/>
      <c r="AP6" s="87"/>
      <c r="AQ6" s="63"/>
      <c r="AR6" s="89"/>
      <c r="AS6" s="87"/>
      <c r="AT6" s="63"/>
      <c r="AU6" s="31"/>
      <c r="AV6" s="31"/>
      <c r="AW6" s="166"/>
      <c r="AX6" s="71">
        <f>(100+(AX4/-1.9))/100</f>
        <v>0.99670708377950656</v>
      </c>
      <c r="AY6" s="31"/>
    </row>
    <row r="7" spans="1:53" ht="13.5" thickBot="1">
      <c r="A7" s="69" t="s">
        <v>32</v>
      </c>
      <c r="B7" s="70">
        <f>(B5*I5)+I7</f>
        <v>6.8359749226449242</v>
      </c>
      <c r="C7" s="6"/>
      <c r="D7" s="51" t="s">
        <v>41</v>
      </c>
      <c r="E7" s="71">
        <f>IF('Drive 266'!$B$2&gt;0,(100+(E2/-3))/100,(100+(E2/-3))/100)</f>
        <v>1.0480353233499564</v>
      </c>
      <c r="F7" s="31"/>
      <c r="G7" s="31"/>
      <c r="H7" s="74" t="s">
        <v>26</v>
      </c>
      <c r="I7" s="62">
        <f>Cálculos!B3/4*'Drive 266'!$B$5</f>
        <v>0</v>
      </c>
      <c r="J7" s="31"/>
      <c r="N7" s="54"/>
      <c r="O7" s="69" t="s">
        <v>32</v>
      </c>
      <c r="P7" s="70">
        <f>(P5*W5)+W7</f>
        <v>8.3648067083450837</v>
      </c>
      <c r="Q7" s="6"/>
      <c r="R7" s="51" t="s">
        <v>45</v>
      </c>
      <c r="S7" s="71">
        <f>IF('Drive 266'!$B$2&gt;0,(100+(S2/-3))/100,(100+(S2/-3))/100)</f>
        <v>1.0376877653988854</v>
      </c>
      <c r="T7" s="31"/>
      <c r="U7" s="31"/>
      <c r="V7" s="74" t="s">
        <v>26</v>
      </c>
      <c r="W7" s="62">
        <f>Cálculos!P3/4.5*'Drive 266'!$B$5</f>
        <v>0</v>
      </c>
      <c r="X7" s="31"/>
      <c r="AB7" s="54"/>
      <c r="AC7" s="69" t="s">
        <v>32</v>
      </c>
      <c r="AD7" s="70">
        <f>(AD5*AK5)+AK7</f>
        <v>10.700697065893879</v>
      </c>
      <c r="AE7" s="6"/>
      <c r="AF7" s="51" t="s">
        <v>45</v>
      </c>
      <c r="AG7" s="71">
        <f>IF('Drive 266'!$B$2&gt;0,(100+(AG2/-2.25))/100,(100+(AG2/-2))/100)</f>
        <v>1.0452615430256238</v>
      </c>
      <c r="AH7" s="31"/>
      <c r="AI7" s="31"/>
      <c r="AJ7" s="74" t="s">
        <v>26</v>
      </c>
      <c r="AK7" s="62">
        <f>Cálculos!AD3/4.5*'Drive 266'!$B$5</f>
        <v>0</v>
      </c>
      <c r="AL7" s="31"/>
      <c r="AO7" s="27"/>
      <c r="AP7" s="69" t="s">
        <v>32</v>
      </c>
      <c r="AQ7" s="70">
        <f>(AQ5*AX5)+AX7</f>
        <v>6.4039722684772586</v>
      </c>
      <c r="AR7" s="89"/>
      <c r="AS7" s="127" t="s">
        <v>45</v>
      </c>
      <c r="AT7" s="71">
        <f>IF('Drive 266'!$B$2&gt;0,(100+(AT2/-2.25))/100,(100+(AT2/-2))/100)</f>
        <v>1.0764893143956762</v>
      </c>
      <c r="AU7" s="31"/>
      <c r="AV7" s="89"/>
      <c r="AW7" s="74" t="s">
        <v>26</v>
      </c>
      <c r="AX7" s="62">
        <f>Cálculos!AQ3/4.5*'Drive 266'!$B$5</f>
        <v>0</v>
      </c>
      <c r="AY7" s="31"/>
    </row>
    <row r="8" spans="1:53" ht="13.5" thickBot="1">
      <c r="A8" s="72" t="s">
        <v>33</v>
      </c>
      <c r="B8" s="73">
        <f>(B5/I6)+I7</f>
        <v>6.8806289086390473</v>
      </c>
      <c r="C8" s="6"/>
      <c r="F8" s="31"/>
      <c r="G8" s="31"/>
      <c r="J8" s="31"/>
      <c r="N8" s="54"/>
      <c r="O8" s="72" t="s">
        <v>33</v>
      </c>
      <c r="P8" s="73">
        <f>(P5/W6)+W7</f>
        <v>8.4298451937029668</v>
      </c>
      <c r="Q8" s="6"/>
      <c r="T8" s="31"/>
      <c r="U8" s="31"/>
      <c r="X8" s="31"/>
      <c r="AB8" s="54"/>
      <c r="AC8" s="72" t="s">
        <v>33</v>
      </c>
      <c r="AD8" s="73">
        <f>(AD5/AK6)+AK7</f>
        <v>10.803530768813447</v>
      </c>
      <c r="AE8" s="6"/>
      <c r="AH8" s="31"/>
      <c r="AI8" s="31"/>
      <c r="AL8" s="31"/>
      <c r="AO8" s="27"/>
      <c r="AP8" s="72" t="s">
        <v>33</v>
      </c>
      <c r="AQ8" s="73">
        <f>(AQ5/AX6)+AX7</f>
        <v>6.442518759705874</v>
      </c>
      <c r="AR8" s="89"/>
      <c r="AU8" s="31"/>
      <c r="AV8" s="31"/>
      <c r="AY8" s="31"/>
    </row>
    <row r="9" spans="1:53" ht="13.5" thickBot="1">
      <c r="A9" s="31"/>
      <c r="B9" s="31"/>
      <c r="C9" s="6"/>
      <c r="D9" s="6"/>
      <c r="E9" s="75" t="s">
        <v>16</v>
      </c>
      <c r="F9" s="75" t="s">
        <v>17</v>
      </c>
      <c r="G9" s="31"/>
      <c r="H9" s="6"/>
      <c r="I9" s="93" t="s">
        <v>19</v>
      </c>
      <c r="J9" s="91" t="s">
        <v>20</v>
      </c>
      <c r="N9" s="54"/>
      <c r="O9" s="31"/>
      <c r="P9" s="31"/>
      <c r="Q9" s="6"/>
      <c r="R9" s="6"/>
      <c r="S9" s="75" t="s">
        <v>16</v>
      </c>
      <c r="T9" s="75" t="s">
        <v>17</v>
      </c>
      <c r="U9" s="31"/>
      <c r="V9" s="6"/>
      <c r="W9" s="93" t="s">
        <v>19</v>
      </c>
      <c r="X9" s="91" t="s">
        <v>20</v>
      </c>
      <c r="AB9" s="54"/>
      <c r="AC9" s="31"/>
      <c r="AD9" s="31"/>
      <c r="AE9" s="6"/>
      <c r="AF9" s="6"/>
      <c r="AG9" s="75" t="s">
        <v>16</v>
      </c>
      <c r="AH9" s="75" t="s">
        <v>17</v>
      </c>
      <c r="AI9" s="31"/>
      <c r="AJ9" s="6"/>
      <c r="AK9" s="93" t="s">
        <v>19</v>
      </c>
      <c r="AL9" s="91" t="s">
        <v>20</v>
      </c>
      <c r="AO9" s="27"/>
      <c r="AP9" s="31"/>
      <c r="AQ9" s="31"/>
      <c r="AR9" s="89"/>
      <c r="AS9" s="89"/>
      <c r="AT9" s="75" t="s">
        <v>16</v>
      </c>
      <c r="AU9" s="75" t="s">
        <v>17</v>
      </c>
      <c r="AV9" s="31"/>
      <c r="AW9" s="89"/>
      <c r="AX9" s="93" t="s">
        <v>19</v>
      </c>
      <c r="AY9" s="91" t="s">
        <v>20</v>
      </c>
    </row>
    <row r="10" spans="1:53" ht="13.5" thickBot="1">
      <c r="A10" s="163" t="s">
        <v>8</v>
      </c>
      <c r="B10" s="164"/>
      <c r="D10" s="76">
        <v>1</v>
      </c>
      <c r="E10" s="104">
        <v>281.02999999999997</v>
      </c>
      <c r="F10" s="105">
        <v>0.996</v>
      </c>
      <c r="G10" s="89" t="s">
        <v>43</v>
      </c>
      <c r="H10" s="40" t="s">
        <v>22</v>
      </c>
      <c r="I10" s="96" t="str">
        <f>INDEX(Calibrador!C38:C110,(ROUNDUP(((I11-80)/(20/72))+1,0)),1)</f>
        <v>229.2</v>
      </c>
      <c r="J10" s="95" t="str">
        <f>INDEX(Calibrador!C38:C110,(ROUNDUP(((J11-80)/(20/72))+1,0)),1)</f>
        <v>230.8</v>
      </c>
      <c r="N10" s="54"/>
      <c r="O10" s="163" t="s">
        <v>8</v>
      </c>
      <c r="P10" s="164"/>
      <c r="R10" s="76">
        <v>1</v>
      </c>
      <c r="S10" s="104">
        <v>264.8</v>
      </c>
      <c r="T10" s="105">
        <v>1.05</v>
      </c>
      <c r="U10" s="135" t="s">
        <v>43</v>
      </c>
      <c r="V10" s="40" t="s">
        <v>22</v>
      </c>
      <c r="W10" s="94" t="str">
        <f>INDEX(Calibrador!F38:F110,(ROUNDUP(((W11-80)/(20/72))+1,0)),1)</f>
        <v>225.4</v>
      </c>
      <c r="X10" s="92" t="str">
        <f>INDEX(Calibrador!F38:F110,(ROUNDUP(((X11-80)/(20/72))+1,0)),1)</f>
        <v>226.8</v>
      </c>
      <c r="AB10" s="54"/>
      <c r="AC10" s="163" t="s">
        <v>8</v>
      </c>
      <c r="AD10" s="164"/>
      <c r="AF10" s="76">
        <v>1</v>
      </c>
      <c r="AG10" s="104">
        <v>247.45</v>
      </c>
      <c r="AH10" s="105">
        <v>1.1020000000000001</v>
      </c>
      <c r="AI10" s="89" t="s">
        <v>43</v>
      </c>
      <c r="AJ10" s="40" t="s">
        <v>22</v>
      </c>
      <c r="AK10" s="94" t="str">
        <f>INDEX(Calibrador!H38:H110,(ROUNDUP(((AK11-80)/(20/72))+1,0)),1)</f>
        <v>222.2</v>
      </c>
      <c r="AL10" s="92" t="str">
        <f>INDEX(Calibrador!H38:H110,(ROUNDUP(((AL11-80)/(20/72))+1,0)),1)</f>
        <v>223.5</v>
      </c>
      <c r="AO10" s="27"/>
      <c r="AP10" s="163" t="s">
        <v>8</v>
      </c>
      <c r="AQ10" s="164"/>
      <c r="AS10" s="76">
        <v>1</v>
      </c>
      <c r="AT10" s="104">
        <v>288.60000000000002</v>
      </c>
      <c r="AU10" s="105">
        <v>0.99</v>
      </c>
      <c r="AV10" s="89" t="s">
        <v>43</v>
      </c>
      <c r="AW10" s="40" t="s">
        <v>22</v>
      </c>
      <c r="AX10" s="94" t="str">
        <f>INDEX(Calibrador!D38:D110,(ROUNDUP(((AX11-80)/(20/72))+1,0)),1)</f>
        <v>229.6</v>
      </c>
      <c r="AY10" s="92" t="str">
        <f>INDEX(Calibrador!D38:D110,(ROUNDUP(((AY11-80)/(20/72))+1,0)),1)</f>
        <v>231.2</v>
      </c>
    </row>
    <row r="11" spans="1:53" ht="13.5" thickBot="1">
      <c r="A11" s="99" t="s">
        <v>35</v>
      </c>
      <c r="B11" s="61">
        <f>$P$41+E2-(I3)</f>
        <v>226.03307346568062</v>
      </c>
      <c r="D11" s="77">
        <v>0.9</v>
      </c>
      <c r="E11" s="106">
        <v>248.27</v>
      </c>
      <c r="F11" s="107">
        <v>0.71</v>
      </c>
      <c r="G11" s="89" t="s">
        <v>43</v>
      </c>
      <c r="H11" s="40" t="s">
        <v>8</v>
      </c>
      <c r="I11" s="112">
        <f>100*(B11-E11)*(B11-E12)/((E10-E11)*(E10-E12))+90*(B11-E10)*(B11-E12)/((E11-E10)*(E11-E12))+80*(B11-E10)*(B11-E11)/((E12-E10)*(E12-E11))</f>
        <v>82.95621470089246</v>
      </c>
      <c r="J11" s="111">
        <f>100*(B12-E11)*(B12-E12)/((E10-E11)*(E10-E12))+90*(B12-E10)*(B12-E12)/((E11-E10)*(E11-E12))+80*(B12-E10)*(B12-E11)/((E12-E10)*(E12-E11))</f>
        <v>83.352859252786729</v>
      </c>
      <c r="N11" s="54"/>
      <c r="O11" s="99" t="s">
        <v>35</v>
      </c>
      <c r="P11" s="61">
        <f>$P$41+S2-(W3)</f>
        <v>229.03208899070208</v>
      </c>
      <c r="R11" s="77">
        <v>0.9</v>
      </c>
      <c r="S11" s="106">
        <v>235.14</v>
      </c>
      <c r="T11" s="107">
        <v>0.76100000000000001</v>
      </c>
      <c r="U11" s="135" t="s">
        <v>43</v>
      </c>
      <c r="V11" s="40" t="s">
        <v>8</v>
      </c>
      <c r="W11" s="112">
        <f>100*(P11-S11)*(P11-S12)/((S10-S11)*(S10-S12))+90*(P11-S10)*(P11-S12)/((S11-S10)*(S11-S12))+80*(P11-S10)*(P11-S11)/((S12-S10)*(S12-S11))</f>
        <v>87.879619236328011</v>
      </c>
      <c r="X11" s="111">
        <f>100*(P12-S11)*(P12-S12)/((S10-S11)*(S10-S12))+90*(P12-S10)*(P12-S12)/((S11-S10)*(S11-S12))+80*(P12-S10)*(P12-S11)/((S12-S10)*(S12-S11))</f>
        <v>88.391391554418178</v>
      </c>
      <c r="AB11" s="54"/>
      <c r="AC11" s="99" t="s">
        <v>35</v>
      </c>
      <c r="AD11" s="61">
        <f>$P$41+AG2-(AK3)</f>
        <v>231.13111403354313</v>
      </c>
      <c r="AF11" s="77">
        <v>0.9</v>
      </c>
      <c r="AG11" s="106">
        <v>220.5</v>
      </c>
      <c r="AH11" s="107">
        <v>0.82699999999999996</v>
      </c>
      <c r="AI11" s="89" t="s">
        <v>43</v>
      </c>
      <c r="AJ11" s="40" t="s">
        <v>8</v>
      </c>
      <c r="AK11" s="112">
        <f>100*(AD11-AG11)*(AD11-AG12)/((AG10-AG11)*(AG10-AG12))+90*(AD11-AG10)*(AD11-AG12)/((AG11-AG10)*(AG11-AG12))+80*(AD11-AG10)*(AD11-AG11)/((AG12-AG10)*(AG12-AG11))</f>
        <v>93.995133728004291</v>
      </c>
      <c r="AL11" s="111">
        <f>100*(AD12-AG11)*(AD12-AG12)/((AG10-AG11)*(AG10-AG12))+90*(AD12-AG10)*(AD12-AG12)/((AG11-AG10)*(AG11-AG12))+80*(AD12-AG10)*(AD12-AG11)/((AG12-AG10)*(AG12-AG11))</f>
        <v>94.669827288339391</v>
      </c>
      <c r="AO11" s="27"/>
      <c r="AP11" s="126" t="s">
        <v>35</v>
      </c>
      <c r="AQ11" s="61">
        <f>$P$41+AT2-(AX3)</f>
        <v>225.18930590619775</v>
      </c>
      <c r="AS11" s="77">
        <v>0.9</v>
      </c>
      <c r="AT11" s="106">
        <v>255.96</v>
      </c>
      <c r="AU11" s="107">
        <v>0.70199999999999996</v>
      </c>
      <c r="AV11" s="89" t="s">
        <v>43</v>
      </c>
      <c r="AW11" s="40" t="s">
        <v>8</v>
      </c>
      <c r="AX11" s="112">
        <f>100*(AQ11-AT11)*(AQ11-AT12)/((AT10-AT11)*(AT10-AT12))+90*(AQ11-AT10)*(AQ11-AT12)/((AT11-AT10)*(AT11-AT12))+80*(AQ11-AT10)*(AQ11-AT11)/((AT12-AT10)*(AT12-AT11))</f>
        <v>80.197772812054751</v>
      </c>
      <c r="AY11" s="111">
        <f>100*(AQ12-AT11)*(AQ12-AT12)/((AT10-AT11)*(AT10-AT12))+90*(AQ12-AT10)*(AQ12-AT12)/((AT11-AT10)*(AT11-AT12))+80*(AQ12-AT10)*(AQ12-AT11)/((AT12-AT10)*(AT12-AT11))</f>
        <v>80.566928049300969</v>
      </c>
    </row>
    <row r="12" spans="1:53" ht="13.5" thickBot="1">
      <c r="A12" s="100" t="s">
        <v>36</v>
      </c>
      <c r="B12" s="83">
        <f>$P$41+E2+(I4)</f>
        <v>227.26812502079861</v>
      </c>
      <c r="D12" s="78">
        <v>0.8</v>
      </c>
      <c r="E12" s="108">
        <v>216.89</v>
      </c>
      <c r="F12" s="109">
        <v>0.5</v>
      </c>
      <c r="G12" s="89" t="s">
        <v>43</v>
      </c>
      <c r="N12" s="54"/>
      <c r="O12" s="100" t="s">
        <v>36</v>
      </c>
      <c r="P12" s="83">
        <f>$P$41+S2+(W4)</f>
        <v>230.50079967568576</v>
      </c>
      <c r="R12" s="78">
        <v>0.8</v>
      </c>
      <c r="S12" s="108">
        <v>206.84</v>
      </c>
      <c r="T12" s="109">
        <v>0.56999999999999995</v>
      </c>
      <c r="U12" s="89" t="s">
        <v>43</v>
      </c>
      <c r="AB12" s="54"/>
      <c r="AC12" s="100" t="s">
        <v>36</v>
      </c>
      <c r="AD12" s="83">
        <f>$P$41+AG2+(AK4)</f>
        <v>232.94391577570045</v>
      </c>
      <c r="AF12" s="78">
        <v>0.8</v>
      </c>
      <c r="AG12" s="108">
        <v>194.62</v>
      </c>
      <c r="AH12" s="109">
        <v>0.62</v>
      </c>
      <c r="AI12" s="89" t="s">
        <v>43</v>
      </c>
      <c r="AO12" s="27"/>
      <c r="AP12" s="127" t="s">
        <v>36</v>
      </c>
      <c r="AQ12" s="83">
        <f>$P$41+AT2+(AX4)</f>
        <v>226.3277912027585</v>
      </c>
      <c r="AS12" s="78">
        <v>0.8</v>
      </c>
      <c r="AT12" s="108">
        <v>224.58</v>
      </c>
      <c r="AU12" s="109">
        <v>0.504</v>
      </c>
      <c r="AV12" s="89" t="s">
        <v>43</v>
      </c>
    </row>
    <row r="13" spans="1:53">
      <c r="G13" s="31"/>
      <c r="K13" s="31"/>
      <c r="L13" s="31"/>
      <c r="M13" s="31"/>
      <c r="N13" s="54"/>
      <c r="U13" s="31"/>
      <c r="Y13" s="31"/>
      <c r="Z13" s="31"/>
      <c r="AA13" s="31"/>
      <c r="AB13" s="54"/>
      <c r="AI13" s="31"/>
      <c r="AO13" s="27"/>
    </row>
    <row r="14" spans="1:53" ht="13.5" thickBot="1">
      <c r="A14" s="27"/>
      <c r="B14" s="27"/>
      <c r="C14" s="27"/>
      <c r="D14" s="54"/>
      <c r="E14" s="54"/>
      <c r="F14" s="54"/>
      <c r="G14" s="80"/>
      <c r="H14" s="54"/>
      <c r="I14" s="54"/>
      <c r="J14" s="54"/>
      <c r="K14" s="54"/>
      <c r="L14" s="54"/>
      <c r="M14" s="54"/>
      <c r="N14" s="54"/>
      <c r="O14" s="27"/>
      <c r="P14" s="27"/>
      <c r="Q14" s="27"/>
      <c r="R14" s="27"/>
      <c r="S14" s="27"/>
      <c r="T14" s="27"/>
      <c r="U14" s="80"/>
      <c r="V14" s="54"/>
      <c r="W14" s="27"/>
      <c r="X14" s="54"/>
      <c r="Y14" s="54"/>
      <c r="Z14" s="54"/>
      <c r="AA14" s="54"/>
      <c r="AB14" s="54"/>
      <c r="AC14" s="27"/>
      <c r="AD14" s="27"/>
      <c r="AE14" s="80"/>
      <c r="AF14" s="27"/>
      <c r="AG14" s="27"/>
      <c r="AH14" s="27"/>
      <c r="AI14" s="80"/>
      <c r="AJ14" s="54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</row>
    <row r="15" spans="1:53" ht="13.5" thickBot="1">
      <c r="A15" s="6" t="s">
        <v>7</v>
      </c>
      <c r="B15" s="6"/>
      <c r="C15" s="6"/>
      <c r="D15" s="163" t="s">
        <v>0</v>
      </c>
      <c r="E15" s="164"/>
      <c r="F15" s="6"/>
      <c r="G15" s="6"/>
      <c r="H15" s="163" t="s">
        <v>1</v>
      </c>
      <c r="I15" s="164"/>
      <c r="J15" s="31"/>
      <c r="K15" s="167" t="s">
        <v>13</v>
      </c>
      <c r="L15" s="168"/>
      <c r="M15" s="31"/>
      <c r="N15" s="54"/>
      <c r="O15" s="6" t="s">
        <v>21</v>
      </c>
      <c r="P15" s="6"/>
      <c r="R15" s="163" t="s">
        <v>0</v>
      </c>
      <c r="S15" s="164"/>
      <c r="T15" s="31"/>
      <c r="U15" s="31"/>
      <c r="V15" s="163" t="s">
        <v>1</v>
      </c>
      <c r="W15" s="164"/>
      <c r="X15" s="31"/>
      <c r="Y15" s="167" t="s">
        <v>13</v>
      </c>
      <c r="Z15" s="168"/>
      <c r="AA15" s="31"/>
      <c r="AB15" s="54"/>
      <c r="AC15" s="6" t="s">
        <v>23</v>
      </c>
      <c r="AD15" s="6"/>
      <c r="AE15" s="31"/>
      <c r="AF15" s="163" t="s">
        <v>0</v>
      </c>
      <c r="AG15" s="164"/>
      <c r="AH15" s="31"/>
      <c r="AI15" s="31"/>
      <c r="AJ15" s="163" t="s">
        <v>1</v>
      </c>
      <c r="AK15" s="164"/>
      <c r="AM15" s="170" t="s">
        <v>13</v>
      </c>
      <c r="AN15" s="171"/>
      <c r="AO15" s="27"/>
      <c r="AP15" s="135" t="s">
        <v>54</v>
      </c>
      <c r="AQ15" s="89"/>
      <c r="AR15" s="31"/>
      <c r="AS15" s="163" t="s">
        <v>0</v>
      </c>
      <c r="AT15" s="164"/>
      <c r="AU15" s="31"/>
      <c r="AV15" s="31"/>
      <c r="AW15" s="163" t="s">
        <v>1</v>
      </c>
      <c r="AX15" s="164"/>
      <c r="AZ15" s="170" t="s">
        <v>13</v>
      </c>
      <c r="BA15" s="171"/>
    </row>
    <row r="16" spans="1:53">
      <c r="A16" s="55" t="s">
        <v>28</v>
      </c>
      <c r="B16" s="56">
        <f>('Drive 266'!$B$3*Cálculos!$L$1)</f>
        <v>9.9756405025982424</v>
      </c>
      <c r="D16" s="87" t="s">
        <v>4</v>
      </c>
      <c r="E16" s="61">
        <f>IF('Drive 266'!$B$2&gt;0,'Drive 266'!$B$2*E18,'Drive 266'!$B$2*E19)</f>
        <v>-9.903676954103755</v>
      </c>
      <c r="F16" s="113"/>
      <c r="H16" s="99" t="s">
        <v>37</v>
      </c>
      <c r="I16" s="61">
        <f>'Drive 266'!$B$3*Cálculos!$L$2*B17</f>
        <v>0.73113154447036333</v>
      </c>
      <c r="K16" s="81">
        <f>MOD(I26,30/108)</f>
        <v>2.520583222424988E-2</v>
      </c>
      <c r="L16" s="61">
        <f>MOD(J26,30/108)</f>
        <v>4.0144947196771863E-2</v>
      </c>
      <c r="N16" s="27"/>
      <c r="O16" s="55" t="s">
        <v>28</v>
      </c>
      <c r="P16" s="56">
        <f>('Drive 266'!$B$3*Cálculos!$L$1)</f>
        <v>9.9756405025982424</v>
      </c>
      <c r="R16" s="87" t="s">
        <v>4</v>
      </c>
      <c r="S16" s="61">
        <f>IF('Drive 266'!$B$2&gt;0,'Drive 266'!$B$2*S18,'Drive 266'!$B$2*S19)</f>
        <v>-7.8496341108669068</v>
      </c>
      <c r="V16" s="99" t="s">
        <v>37</v>
      </c>
      <c r="W16" s="61">
        <f>'Drive 266'!$B$3*Cálculos!$L$2*P17</f>
        <v>0.94402730484834241</v>
      </c>
      <c r="Y16" s="81">
        <f>MOD(W26,20/72)</f>
        <v>7.0260212676373723E-2</v>
      </c>
      <c r="Z16" s="61">
        <f>MOD(X26,20/72)</f>
        <v>0.24498512492889002</v>
      </c>
      <c r="AB16" s="27"/>
      <c r="AC16" s="55" t="s">
        <v>28</v>
      </c>
      <c r="AD16" s="56">
        <f>('Drive 266'!$B$3*Cálculos!$L$1)</f>
        <v>9.9756405025982424</v>
      </c>
      <c r="AF16" s="87" t="s">
        <v>4</v>
      </c>
      <c r="AG16" s="61">
        <f>IF('Drive 266'!$B$2&gt;0,'Drive 266'!$B$2*AG18,'Drive 266'!$B$2*AG19)</f>
        <v>-6.5387414759734543</v>
      </c>
      <c r="AJ16" s="99" t="s">
        <v>37</v>
      </c>
      <c r="AK16" s="61">
        <f>'Drive 266'!$B$3*Cálculos!$L$2*AD17</f>
        <v>1.1405539305387518</v>
      </c>
      <c r="AM16" s="44">
        <f>MOD(AK26,20/72)</f>
        <v>0.19819051767764173</v>
      </c>
      <c r="AN16" s="38">
        <f>MOD(AL26,20/72)</f>
        <v>0.2471359785890489</v>
      </c>
      <c r="AO16" s="27"/>
      <c r="AP16" s="55" t="s">
        <v>28</v>
      </c>
      <c r="AQ16" s="56">
        <f>('Drive 266'!$B$3*Cálculos!$L$1)</f>
        <v>9.9756405025982424</v>
      </c>
      <c r="AS16" s="87" t="s">
        <v>4</v>
      </c>
      <c r="AT16" s="61">
        <f>IF('Drive 266'!$B$2&gt;0,'Drive 266'!$B$2*AT18,'Drive 266'!$B$2*AT19)</f>
        <v>-9.9903811379940759</v>
      </c>
      <c r="AW16" s="126" t="s">
        <v>37</v>
      </c>
      <c r="AX16" s="61">
        <f>'Drive 266'!$B$3*Cálculos!$L$2*AQ17</f>
        <v>0.67454586490462709</v>
      </c>
      <c r="AZ16" s="44">
        <f>MOD(AX26,20/72)</f>
        <v>3.5312603009215904E-2</v>
      </c>
      <c r="BA16" s="38">
        <f>MOD(AY26,20/72)</f>
        <v>0.27356529163505849</v>
      </c>
    </row>
    <row r="17" spans="1:53">
      <c r="A17" s="59" t="s">
        <v>17</v>
      </c>
      <c r="B17" s="60">
        <f>F24*($R$41-E25)*($R$41-E26)*($R$41-E27)/((E24-E25)*(E24-E26)*(E24-E27))+F25*($R$41-E24)*($R$41-E26)*($R$41-E27)/((E25-E24)*(E25-E26)*(E25-E27))+F26*($R$41-E24)*($R$41-E25)*($R$41-E27)/((E26-E24)*(E26-E25)*(E26-E27))+F27*($R$41-E24)*($R$41-E25)*($R$41-E26)/((E27-E24)*(E27-E25)*(E27-E26))</f>
        <v>1.0481199883357606</v>
      </c>
      <c r="C17" s="6"/>
      <c r="D17" s="87"/>
      <c r="E17" s="63"/>
      <c r="F17" s="135"/>
      <c r="G17" s="31"/>
      <c r="H17" s="99" t="s">
        <v>38</v>
      </c>
      <c r="I17" s="61">
        <f>$L$2*'Drive 266'!$B$3*B17*1*(1-(E16*0.015))</f>
        <v>0.83974490388120471</v>
      </c>
      <c r="J17" s="31"/>
      <c r="K17" s="82">
        <f>K16/(30/108)</f>
        <v>9.0740996007299568E-2</v>
      </c>
      <c r="L17" s="60">
        <f>L16/(30/108)</f>
        <v>0.14452180990837871</v>
      </c>
      <c r="M17" s="31"/>
      <c r="N17" s="54"/>
      <c r="O17" s="59" t="s">
        <v>17</v>
      </c>
      <c r="P17" s="60">
        <f>T24*($R$41-S25)*($R$41-S26)/((S24-S25)*(S24-S26))+T25*($R$41-S24)*($R$41-S26)/((S25-S24)*(S25-S26))+T26*($R$41-S24)*($R$41-S25)/((S26-S24)*(S26-S25))</f>
        <v>1.3533185583765932</v>
      </c>
      <c r="Q17" s="6"/>
      <c r="R17" s="87"/>
      <c r="S17" s="63"/>
      <c r="T17" s="31"/>
      <c r="U17" s="31"/>
      <c r="V17" s="99" t="s">
        <v>38</v>
      </c>
      <c r="W17" s="61">
        <f>$L$2*'Drive 266'!$B$3*P17*1*(1-(S16*0.015))</f>
        <v>1.0551813388542519</v>
      </c>
      <c r="X17" s="31"/>
      <c r="Y17" s="82">
        <f>Y16/(20/72)</f>
        <v>0.25293676563494538</v>
      </c>
      <c r="Z17" s="60">
        <f>Z16/(20/72)</f>
        <v>0.88194644974400405</v>
      </c>
      <c r="AA17" s="31"/>
      <c r="AB17" s="54"/>
      <c r="AC17" s="59" t="s">
        <v>17</v>
      </c>
      <c r="AD17" s="60">
        <f>AH24*($R$41-AG25)*($R$41-AG26)/((AG24-AG25)*(AG24-AG26))+AH25*($R$41-AG24)*($R$41-AG26)/((AG25-AG24)*(AG25-AG26))+AH26*($R$41-AG24)*($R$41-AG25)/((AG26-AG24)*(AG26-AG25))</f>
        <v>1.6350510129316953</v>
      </c>
      <c r="AE17" s="6"/>
      <c r="AF17" s="87"/>
      <c r="AG17" s="63"/>
      <c r="AH17" s="31"/>
      <c r="AI17" s="31"/>
      <c r="AJ17" s="99" t="s">
        <v>38</v>
      </c>
      <c r="AK17" s="61">
        <f>$L$2*'Drive 266'!$B$3*AD17*1*(1-(AG16*0.015))</f>
        <v>1.252420739906726</v>
      </c>
      <c r="AL17" s="31"/>
      <c r="AM17" s="39">
        <f>AM16/(20/72)</f>
        <v>0.71348586363951016</v>
      </c>
      <c r="AN17" s="37">
        <f>AN16/(20/72)</f>
        <v>0.88968952292057601</v>
      </c>
      <c r="AO17" s="27"/>
      <c r="AP17" s="59" t="s">
        <v>17</v>
      </c>
      <c r="AQ17" s="60">
        <f>AU24*($R$41-AT25)*($R$41-AT26)/((AT24-AT25)*(AT24-AT26))+AU25*($R$41-AT24)*($R$41-AT26)/((AT25-AT24)*(AT25-AT26))+AU26*($R$41-AT24)*($R$41-AT25)/((AT26-AT24)*(AT26-AT25))</f>
        <v>0.96700109495061182</v>
      </c>
      <c r="AR17" s="89"/>
      <c r="AS17" s="87"/>
      <c r="AT17" s="63"/>
      <c r="AU17" s="31"/>
      <c r="AV17" s="31"/>
      <c r="AW17" s="126" t="s">
        <v>38</v>
      </c>
      <c r="AX17" s="61">
        <f>$L$2*'Drive 266'!$B$3*AQ17*1*(1-(AT16*0.015))</f>
        <v>0.77563041918645337</v>
      </c>
      <c r="AY17" s="31"/>
      <c r="AZ17" s="39">
        <f>AZ16/(20/72)</f>
        <v>0.12712537083317724</v>
      </c>
      <c r="BA17" s="37">
        <f>BA16/(20/72)</f>
        <v>0.98483504988621051</v>
      </c>
    </row>
    <row r="18" spans="1:53" ht="13.5" thickBot="1">
      <c r="A18" s="64" t="s">
        <v>34</v>
      </c>
      <c r="B18" s="61">
        <f>B16*B17</f>
        <v>10.455668207225012</v>
      </c>
      <c r="C18" s="6"/>
      <c r="D18" s="65" t="s">
        <v>42</v>
      </c>
      <c r="E18" s="124">
        <f>1.85*POWER(1.01325,E26-$R$41)</f>
        <v>0.73332058414827928</v>
      </c>
      <c r="F18" s="135"/>
      <c r="G18" s="31"/>
      <c r="H18" s="50" t="s">
        <v>39</v>
      </c>
      <c r="I18" s="61">
        <f>$L$2*'Drive 266'!$B$3*B17*1.22*(1-(E16*0.015))</f>
        <v>1.0244887827350697</v>
      </c>
      <c r="J18" s="31"/>
      <c r="K18" s="87">
        <f>IF(K17&lt;0.288,ROUNDDOWN(K17,0),ROUNDUP(K17,0))</f>
        <v>0</v>
      </c>
      <c r="L18" s="63">
        <f>IF(L17&lt;0.288,ROUNDDOWN(L17,0),ROUNDUP(L17,0))</f>
        <v>0</v>
      </c>
      <c r="M18" s="31"/>
      <c r="N18" s="54"/>
      <c r="O18" s="64" t="s">
        <v>34</v>
      </c>
      <c r="P18" s="61">
        <f>P16*P17</f>
        <v>13.500219423859408</v>
      </c>
      <c r="Q18" s="6"/>
      <c r="R18" s="65" t="s">
        <v>42</v>
      </c>
      <c r="S18" s="66">
        <f>1.558*POWER(1.01333,S26-$R$41)</f>
        <v>0.53691745788592737</v>
      </c>
      <c r="T18" s="31"/>
      <c r="U18" s="31"/>
      <c r="V18" s="50" t="s">
        <v>39</v>
      </c>
      <c r="W18" s="61">
        <f>$L$2*'Drive 266'!$B$3*P17*1.22*(1-(S16*0.015))</f>
        <v>1.2873212334021873</v>
      </c>
      <c r="X18" s="31"/>
      <c r="Y18" s="87">
        <f>IF(Y17&lt;0.288,ROUNDDOWN(Y17,0),ROUNDUP(Y17,0))</f>
        <v>0</v>
      </c>
      <c r="Z18" s="63">
        <f>IF(Z17&lt;0.288,ROUNDDOWN(Z17,0),ROUNDUP(Z17,0))</f>
        <v>1</v>
      </c>
      <c r="AA18" s="31"/>
      <c r="AB18" s="54"/>
      <c r="AC18" s="64" t="s">
        <v>34</v>
      </c>
      <c r="AD18" s="61">
        <f>AD16*AD17</f>
        <v>16.310681108415704</v>
      </c>
      <c r="AE18" s="6"/>
      <c r="AF18" s="65" t="s">
        <v>42</v>
      </c>
      <c r="AG18" s="66">
        <f>1.403*POWER(1.0132,AG26-$R$41)</f>
        <v>0.41683930057350382</v>
      </c>
      <c r="AH18" s="31"/>
      <c r="AI18" s="31"/>
      <c r="AJ18" s="50" t="s">
        <v>39</v>
      </c>
      <c r="AK18" s="61">
        <f>$L$2*'Drive 266'!$B$3*AD17*1.22*(1-(AG16*0.015))</f>
        <v>1.5279533026862058</v>
      </c>
      <c r="AL18" s="31"/>
      <c r="AM18" s="1">
        <f>IF(AM17&lt;0.288,ROUNDDOWN(AM17,0),ROUNDUP(AM17,0))</f>
        <v>1</v>
      </c>
      <c r="AN18" s="2">
        <f>IF(AN17&lt;0.288,ROUNDDOWN(AN17,0),ROUNDUP(AN17,0))</f>
        <v>1</v>
      </c>
      <c r="AO18" s="27"/>
      <c r="AP18" s="64" t="s">
        <v>34</v>
      </c>
      <c r="AQ18" s="61">
        <f>AQ16*AQ17</f>
        <v>9.6464552888461714</v>
      </c>
      <c r="AR18" s="89"/>
      <c r="AS18" s="65" t="s">
        <v>42</v>
      </c>
      <c r="AT18" s="66">
        <f>1.81*POWER(1.0131,AT26-$R$41)</f>
        <v>0.80138947368547608</v>
      </c>
      <c r="AU18" s="31"/>
      <c r="AV18" s="31"/>
      <c r="AW18" s="126" t="s">
        <v>39</v>
      </c>
      <c r="AX18" s="61">
        <f>$L$2*'Drive 266'!$B$3*AQ17*1.22*(1-(AT16*0.015))</f>
        <v>0.94626911140747305</v>
      </c>
      <c r="AY18" s="31"/>
      <c r="AZ18" s="1">
        <f>IF(AZ17&lt;0.288,ROUNDDOWN(AZ17,0),ROUNDUP(AZ17,0))</f>
        <v>0</v>
      </c>
      <c r="BA18" s="2">
        <f>IF(BA17&lt;0.288,ROUNDDOWN(BA17,0),ROUNDUP(BA17,0))</f>
        <v>1</v>
      </c>
    </row>
    <row r="19" spans="1:53">
      <c r="A19" s="50" t="s">
        <v>29</v>
      </c>
      <c r="B19" s="61">
        <f>B18*E21</f>
        <v>10.800833408103845</v>
      </c>
      <c r="C19" s="6"/>
      <c r="D19" s="67" t="s">
        <v>43</v>
      </c>
      <c r="E19" s="114">
        <f>M26*POWER(1.012,E24-$R$41)</f>
        <v>0.68301220373129345</v>
      </c>
      <c r="F19" s="135"/>
      <c r="G19" s="31"/>
      <c r="H19" s="165" t="s">
        <v>40</v>
      </c>
      <c r="I19" s="61">
        <f>(100+(I17/-1.9))/100</f>
        <v>0.99558028997957271</v>
      </c>
      <c r="J19" s="31"/>
      <c r="K19" s="167" t="s">
        <v>18</v>
      </c>
      <c r="L19" s="168"/>
      <c r="M19" s="31"/>
      <c r="N19" s="54"/>
      <c r="O19" s="50" t="s">
        <v>29</v>
      </c>
      <c r="P19" s="61">
        <f>P18*S21</f>
        <v>13.853458700171789</v>
      </c>
      <c r="Q19" s="6"/>
      <c r="R19" s="67" t="s">
        <v>43</v>
      </c>
      <c r="S19" s="68">
        <f>0.677*POWER(1.0101,S24-$R$41)</f>
        <v>0.5413540766115108</v>
      </c>
      <c r="T19" s="31"/>
      <c r="U19" s="31"/>
      <c r="V19" s="165" t="s">
        <v>40</v>
      </c>
      <c r="W19" s="61">
        <f>(100+(W17/-1.9))/100</f>
        <v>0.99444641400603018</v>
      </c>
      <c r="X19" s="31"/>
      <c r="Y19" s="101" t="s">
        <v>18</v>
      </c>
      <c r="Z19" s="102"/>
      <c r="AA19" s="31"/>
      <c r="AB19" s="54"/>
      <c r="AC19" s="50" t="s">
        <v>29</v>
      </c>
      <c r="AD19" s="61">
        <f>AD18*AG21</f>
        <v>16.698504115924703</v>
      </c>
      <c r="AE19" s="6"/>
      <c r="AF19" s="67" t="s">
        <v>43</v>
      </c>
      <c r="AG19" s="68">
        <f>0.647*POWER(1.0091,AG24-$R$41)</f>
        <v>0.45094768799816926</v>
      </c>
      <c r="AH19" s="31"/>
      <c r="AI19" s="31"/>
      <c r="AJ19" s="165" t="s">
        <v>40</v>
      </c>
      <c r="AK19" s="61">
        <f>(100+(AK17/-1.9))/100</f>
        <v>0.99340831189522771</v>
      </c>
      <c r="AL19" s="31"/>
      <c r="AM19" s="45" t="s">
        <v>18</v>
      </c>
      <c r="AN19" s="46"/>
      <c r="AO19" s="27"/>
      <c r="AP19" s="126" t="s">
        <v>29</v>
      </c>
      <c r="AQ19" s="61">
        <f>AQ18*AT21</f>
        <v>9.9968980705414143</v>
      </c>
      <c r="AR19" s="89"/>
      <c r="AS19" s="67" t="s">
        <v>43</v>
      </c>
      <c r="AT19" s="68">
        <f>0.671*POWER(1.0121,AT24-$R$41)</f>
        <v>0.68899180262028115</v>
      </c>
      <c r="AU19" s="31"/>
      <c r="AV19" s="135"/>
      <c r="AW19" s="165" t="s">
        <v>40</v>
      </c>
      <c r="AX19" s="61">
        <f>(100+(AX17/-1.9))/100</f>
        <v>0.99591773463586075</v>
      </c>
      <c r="AY19" s="31"/>
      <c r="AZ19" s="45" t="s">
        <v>18</v>
      </c>
      <c r="BA19" s="46"/>
    </row>
    <row r="20" spans="1:53" ht="13.5" thickBot="1">
      <c r="A20" s="52"/>
      <c r="B20" s="63"/>
      <c r="C20" s="6"/>
      <c r="D20" s="52"/>
      <c r="E20" s="63"/>
      <c r="F20" s="135"/>
      <c r="G20" s="31"/>
      <c r="H20" s="166"/>
      <c r="I20" s="83">
        <f>(100+(I18/-1.9))/100</f>
        <v>0.9946079537750786</v>
      </c>
      <c r="J20" s="31"/>
      <c r="K20" s="88">
        <f>IF(K16&lt;0.08,9,K21)</f>
        <v>9</v>
      </c>
      <c r="L20" s="79">
        <f>IF(L16&lt;0.08,9,L21)</f>
        <v>9</v>
      </c>
      <c r="M20" s="31"/>
      <c r="N20" s="54"/>
      <c r="O20" s="52"/>
      <c r="P20" s="63"/>
      <c r="Q20" s="6"/>
      <c r="R20" s="52"/>
      <c r="S20" s="63"/>
      <c r="T20" s="31"/>
      <c r="U20" s="31"/>
      <c r="V20" s="166"/>
      <c r="W20" s="83">
        <f>(100+(W18/-1.9))/100</f>
        <v>0.99322462508735698</v>
      </c>
      <c r="X20" s="31"/>
      <c r="Y20" s="88">
        <f>IF(Y16&lt;0.08,9,Y21)</f>
        <v>9</v>
      </c>
      <c r="Z20" s="79">
        <f>IF(Z16&lt;0.08,9,Z21)</f>
        <v>9</v>
      </c>
      <c r="AA20" s="31"/>
      <c r="AB20" s="54"/>
      <c r="AC20" s="52"/>
      <c r="AD20" s="63"/>
      <c r="AE20" s="6"/>
      <c r="AF20" s="52"/>
      <c r="AG20" s="63"/>
      <c r="AH20" s="31"/>
      <c r="AI20" s="31"/>
      <c r="AJ20" s="166"/>
      <c r="AK20" s="83">
        <f>(100+(AK18/-1.9))/100</f>
        <v>0.99195814051217779</v>
      </c>
      <c r="AL20" s="31"/>
      <c r="AM20" s="3">
        <f>IF(AM16&lt;0.08,9,AM21)</f>
        <v>9</v>
      </c>
      <c r="AN20" s="4">
        <f>IF(AN16&lt;0.08,9,AN21)</f>
        <v>9</v>
      </c>
      <c r="AO20" s="27"/>
      <c r="AP20" s="87"/>
      <c r="AQ20" s="63"/>
      <c r="AR20" s="89"/>
      <c r="AS20" s="87"/>
      <c r="AT20" s="63"/>
      <c r="AU20" s="31"/>
      <c r="AV20" s="31"/>
      <c r="AW20" s="166"/>
      <c r="AX20" s="83">
        <f>(100+(AX18/-1.9))/100</f>
        <v>0.99501963625575018</v>
      </c>
      <c r="AY20" s="31"/>
      <c r="AZ20" s="3">
        <f>IF(AZ16&lt;0.08,9,AZ21)</f>
        <v>9</v>
      </c>
      <c r="BA20" s="4">
        <f>IF(BA16&lt;0.08,9,BA21)</f>
        <v>9</v>
      </c>
    </row>
    <row r="21" spans="1:53" ht="13.5" thickBot="1">
      <c r="A21" s="69" t="s">
        <v>32</v>
      </c>
      <c r="B21" s="70">
        <f>(B19*I19)+I21</f>
        <v>10.753096856461083</v>
      </c>
      <c r="C21" s="6"/>
      <c r="D21" s="51" t="s">
        <v>45</v>
      </c>
      <c r="E21" s="83">
        <f>IF('Drive 266'!$B$2&gt;0,(100+(E16/-3))/100,(100+(E16/-3))/100)</f>
        <v>1.0330122565136792</v>
      </c>
      <c r="F21" s="31"/>
      <c r="G21" s="31"/>
      <c r="H21" s="74" t="s">
        <v>27</v>
      </c>
      <c r="I21" s="62">
        <f>Cálculos!B17/4*'Drive 266'!$B$5</f>
        <v>0</v>
      </c>
      <c r="J21" s="31"/>
      <c r="K21" s="53">
        <f>IF(K16&gt;(30/108)-0.08,9,8)</f>
        <v>8</v>
      </c>
      <c r="L21" s="79">
        <f>IF(L16&gt;(30/108)-0.08,9,8)</f>
        <v>8</v>
      </c>
      <c r="M21" s="31"/>
      <c r="N21" s="54"/>
      <c r="O21" s="69" t="s">
        <v>32</v>
      </c>
      <c r="P21" s="70">
        <f>(P19*W19)+W21</f>
        <v>13.776522325966475</v>
      </c>
      <c r="Q21" s="6"/>
      <c r="R21" s="51" t="s">
        <v>45</v>
      </c>
      <c r="S21" s="83">
        <f>IF('Drive 266'!$B$2&gt;0,(100+(S16/-3))/100,(100+(S16/-3))/100)</f>
        <v>1.0261654470362229</v>
      </c>
      <c r="T21" s="31"/>
      <c r="U21" s="31"/>
      <c r="V21" s="74" t="s">
        <v>27</v>
      </c>
      <c r="W21" s="62">
        <f>Cálculos!P17/4.5*'Drive 266'!$B$5</f>
        <v>0</v>
      </c>
      <c r="X21" s="31"/>
      <c r="Y21" s="53">
        <f>IF(Y16&gt;(20/72)-0.08,9,8)</f>
        <v>8</v>
      </c>
      <c r="Z21" s="79">
        <f>IF(Z16&gt;(20/72)-0.08,9,8)</f>
        <v>9</v>
      </c>
      <c r="AA21" s="31"/>
      <c r="AB21" s="54"/>
      <c r="AC21" s="69" t="s">
        <v>32</v>
      </c>
      <c r="AD21" s="70">
        <f>(AD19*AK19)+AK21</f>
        <v>16.58843278497627</v>
      </c>
      <c r="AE21" s="6"/>
      <c r="AF21" s="51" t="s">
        <v>45</v>
      </c>
      <c r="AG21" s="83">
        <f>IF('Drive 266'!$B$2&gt;0,(100+(AG16/-3.25))/100,(100+(AG16/-2.75))/100)</f>
        <v>1.0237772417308126</v>
      </c>
      <c r="AH21" s="31"/>
      <c r="AI21" s="31"/>
      <c r="AJ21" s="74" t="s">
        <v>27</v>
      </c>
      <c r="AK21" s="62">
        <f>Cálculos!AD17/4.5*'Drive 266'!$B$5</f>
        <v>0</v>
      </c>
      <c r="AL21" s="31"/>
      <c r="AM21" s="3">
        <f>IF(AM16&gt;(20/72)-0.08,9,8)</f>
        <v>9</v>
      </c>
      <c r="AN21" s="4">
        <f>IF(AN16&gt;(20/72)-0.08,9,8)</f>
        <v>9</v>
      </c>
      <c r="AO21" s="27"/>
      <c r="AP21" s="69" t="s">
        <v>32</v>
      </c>
      <c r="AQ21" s="70">
        <f>(AQ19*AX19)+AX21</f>
        <v>9.956088079799212</v>
      </c>
      <c r="AR21" s="89"/>
      <c r="AS21" s="127" t="s">
        <v>45</v>
      </c>
      <c r="AT21" s="83">
        <f>IF('Drive 266'!$B$2&gt;0,(100+(AT16/-3.25))/100,(100+(AT16/-2.75))/100)</f>
        <v>1.0363286586836147</v>
      </c>
      <c r="AU21" s="31"/>
      <c r="AV21" s="31"/>
      <c r="AW21" s="74" t="s">
        <v>27</v>
      </c>
      <c r="AX21" s="62">
        <f>Cálculos!AQ17/4.5*'Drive 266'!$B$5</f>
        <v>0</v>
      </c>
      <c r="AY21" s="31"/>
      <c r="AZ21" s="3">
        <f>IF(AZ16&gt;(20/72)-0.08,9,8)</f>
        <v>8</v>
      </c>
      <c r="BA21" s="4">
        <f>IF(BA16&gt;(20/72)-0.08,9,8)</f>
        <v>9</v>
      </c>
    </row>
    <row r="22" spans="1:53" ht="13.5" thickBot="1">
      <c r="A22" s="72" t="s">
        <v>33</v>
      </c>
      <c r="B22" s="73">
        <f>(B19/I20)+I21</f>
        <v>10.8593877287114</v>
      </c>
      <c r="C22" s="6"/>
      <c r="F22" s="31"/>
      <c r="G22" s="31"/>
      <c r="J22" s="31"/>
      <c r="M22" s="31"/>
      <c r="N22" s="54"/>
      <c r="O22" s="72" t="s">
        <v>33</v>
      </c>
      <c r="P22" s="73">
        <f>(P19/W20)+W21</f>
        <v>13.947961367705052</v>
      </c>
      <c r="Q22" s="6"/>
      <c r="T22" s="31"/>
      <c r="U22" s="31"/>
      <c r="X22" s="31"/>
      <c r="AB22" s="54"/>
      <c r="AC22" s="72" t="s">
        <v>33</v>
      </c>
      <c r="AD22" s="73">
        <f>(AD19/AK20)+AK21</f>
        <v>16.833879812007755</v>
      </c>
      <c r="AE22" s="6"/>
      <c r="AH22" s="31"/>
      <c r="AI22" s="31"/>
      <c r="AL22" s="31"/>
      <c r="AO22" s="27"/>
      <c r="AP22" s="72" t="s">
        <v>33</v>
      </c>
      <c r="AQ22" s="73">
        <f>(AQ19/AX20)+AX21</f>
        <v>10.046935463665472</v>
      </c>
      <c r="AR22" s="89"/>
      <c r="AU22" s="31"/>
      <c r="AV22" s="31"/>
      <c r="AY22" s="31"/>
    </row>
    <row r="23" spans="1:53" ht="13.5" thickBot="1">
      <c r="C23" s="6"/>
      <c r="D23" s="6"/>
      <c r="E23" s="75" t="s">
        <v>16</v>
      </c>
      <c r="F23" s="75" t="s">
        <v>17</v>
      </c>
      <c r="G23" s="31"/>
      <c r="H23" s="6"/>
      <c r="I23" s="90" t="s">
        <v>19</v>
      </c>
      <c r="J23" s="91" t="s">
        <v>20</v>
      </c>
      <c r="L23" s="118">
        <v>-35</v>
      </c>
      <c r="M23" s="117">
        <v>0.6925</v>
      </c>
      <c r="N23" s="54"/>
      <c r="Q23" s="6"/>
      <c r="R23" s="6"/>
      <c r="S23" s="75" t="s">
        <v>16</v>
      </c>
      <c r="T23" s="75" t="s">
        <v>17</v>
      </c>
      <c r="U23" s="31"/>
      <c r="V23" s="6"/>
      <c r="W23" s="93" t="s">
        <v>19</v>
      </c>
      <c r="X23" s="91" t="s">
        <v>20</v>
      </c>
      <c r="AB23" s="54"/>
      <c r="AE23" s="6"/>
      <c r="AG23" s="75" t="s">
        <v>16</v>
      </c>
      <c r="AH23" s="75" t="s">
        <v>17</v>
      </c>
      <c r="AI23" s="31"/>
      <c r="AJ23" s="6"/>
      <c r="AK23" s="93" t="s">
        <v>19</v>
      </c>
      <c r="AL23" s="91" t="s">
        <v>20</v>
      </c>
      <c r="AO23" s="27"/>
      <c r="AR23" s="89"/>
      <c r="AT23" s="75" t="s">
        <v>16</v>
      </c>
      <c r="AU23" s="75" t="s">
        <v>17</v>
      </c>
      <c r="AV23" s="31"/>
      <c r="AW23" s="89"/>
      <c r="AX23" s="93" t="s">
        <v>19</v>
      </c>
      <c r="AY23" s="91" t="s">
        <v>20</v>
      </c>
    </row>
    <row r="24" spans="1:53" ht="13.5" thickBot="1">
      <c r="A24" s="163" t="s">
        <v>8</v>
      </c>
      <c r="B24" s="164"/>
      <c r="C24" s="6"/>
      <c r="D24" s="76">
        <v>1</v>
      </c>
      <c r="E24" s="104">
        <v>235.6</v>
      </c>
      <c r="F24" s="110">
        <v>0.98699999999999999</v>
      </c>
      <c r="G24" s="89" t="s">
        <v>43</v>
      </c>
      <c r="H24" s="40" t="s">
        <v>44</v>
      </c>
      <c r="I24" s="90">
        <f>K20</f>
        <v>9</v>
      </c>
      <c r="J24" s="92">
        <f>L20</f>
        <v>9</v>
      </c>
      <c r="L24" s="119">
        <v>-20</v>
      </c>
      <c r="M24" s="37">
        <v>0.71599999999999997</v>
      </c>
      <c r="N24" s="54"/>
      <c r="O24" s="163" t="s">
        <v>8</v>
      </c>
      <c r="P24" s="164"/>
      <c r="Q24" s="6"/>
      <c r="R24" s="76">
        <v>1</v>
      </c>
      <c r="S24" s="104">
        <v>218.75</v>
      </c>
      <c r="T24" s="110">
        <v>1.0389999999999999</v>
      </c>
      <c r="U24" s="89" t="s">
        <v>43</v>
      </c>
      <c r="V24" s="40" t="s">
        <v>44</v>
      </c>
      <c r="W24" s="94">
        <f>Y20</f>
        <v>9</v>
      </c>
      <c r="X24" s="92">
        <f>Z20</f>
        <v>9</v>
      </c>
      <c r="AB24" s="54"/>
      <c r="AC24" s="163" t="s">
        <v>8</v>
      </c>
      <c r="AD24" s="164"/>
      <c r="AE24" s="6"/>
      <c r="AF24" s="76">
        <v>1</v>
      </c>
      <c r="AG24" s="104">
        <v>201.15</v>
      </c>
      <c r="AH24" s="110">
        <v>1.0529999999999999</v>
      </c>
      <c r="AI24" s="89" t="s">
        <v>43</v>
      </c>
      <c r="AJ24" s="40" t="s">
        <v>44</v>
      </c>
      <c r="AK24" s="94">
        <f>AM20</f>
        <v>9</v>
      </c>
      <c r="AL24" s="92">
        <f>AN20</f>
        <v>9</v>
      </c>
      <c r="AO24" s="27"/>
      <c r="AP24" s="163" t="s">
        <v>8</v>
      </c>
      <c r="AQ24" s="164"/>
      <c r="AR24" s="89"/>
      <c r="AS24" s="76">
        <v>1</v>
      </c>
      <c r="AT24" s="104">
        <v>243.2</v>
      </c>
      <c r="AU24" s="110">
        <v>0.99</v>
      </c>
      <c r="AV24" s="89" t="s">
        <v>43</v>
      </c>
      <c r="AW24" s="40" t="s">
        <v>44</v>
      </c>
      <c r="AX24" s="94">
        <f>AZ20</f>
        <v>9</v>
      </c>
      <c r="AY24" s="92">
        <f>BA20</f>
        <v>9</v>
      </c>
    </row>
    <row r="25" spans="1:53" ht="13.5" thickBot="1">
      <c r="A25" s="99" t="s">
        <v>35</v>
      </c>
      <c r="B25" s="61">
        <f>$R$41+E16-(I17)</f>
        <v>230.25657814201503</v>
      </c>
      <c r="C25" s="6"/>
      <c r="D25" s="77">
        <v>0.9</v>
      </c>
      <c r="E25" s="106">
        <v>202.55</v>
      </c>
      <c r="F25" s="107">
        <v>0.67500000000000004</v>
      </c>
      <c r="G25" s="89" t="s">
        <v>43</v>
      </c>
      <c r="H25" s="40" t="s">
        <v>22</v>
      </c>
      <c r="I25" s="139" t="str">
        <f>IF(K18=0,INDEX(Calibrador!B2:B110,(ROUNDDOWN(((I26-70)/(30/108)+1),0)),1),INDEX(Calibrador!B2:B110,(ROUNDUP(((I26-70)/(30/108))+1,0)),1))</f>
        <v>261.6</v>
      </c>
      <c r="J25" s="95" t="str">
        <f>IF(L18=0,INDEX(Calibrador!B2:B110,(ROUNDDOWN(((J26-70)/(30/108)+1),0)),1),INDEX(Calibrador!B2:B110,(ROUNDUP(((J26-70)/(30/108))+1,0)),1))</f>
        <v>263.0</v>
      </c>
      <c r="K25" s="31"/>
      <c r="L25" s="120">
        <v>-8.99</v>
      </c>
      <c r="M25" s="121">
        <v>0.74299999999999999</v>
      </c>
      <c r="N25" s="54"/>
      <c r="O25" s="99" t="s">
        <v>35</v>
      </c>
      <c r="P25" s="61">
        <f>$R$41+S16-(W17)</f>
        <v>232.09518455027884</v>
      </c>
      <c r="Q25" s="6"/>
      <c r="R25" s="77">
        <v>0.9</v>
      </c>
      <c r="S25" s="106">
        <v>188.75</v>
      </c>
      <c r="T25" s="107">
        <v>0.71</v>
      </c>
      <c r="U25" s="89" t="s">
        <v>43</v>
      </c>
      <c r="V25" s="40" t="s">
        <v>22</v>
      </c>
      <c r="W25" s="94" t="e">
        <f>IF(Y18=0,INDEX(Calibrador!E38:E110,(ROUNDDOWN(((W26-80)/(20/72)+1),0)),1),INDEX(Calibrador!E38:E110,(ROUNDUP(((W26-80)/(20/72))+1,0)),1))</f>
        <v>#REF!</v>
      </c>
      <c r="X25" s="92" t="e">
        <f>IF(Z18=0,INDEX(Calibrador!E38:E110,(ROUNDDOWN(((X26-80)/(20/72)+1),0)),1),INDEX(Calibrador!E38:E110,(ROUNDUP(((X26-80)/(20/72))+1,0)),1))</f>
        <v>#REF!</v>
      </c>
      <c r="Y25" s="113"/>
      <c r="AB25" s="54"/>
      <c r="AC25" s="99" t="s">
        <v>35</v>
      </c>
      <c r="AD25" s="61">
        <f>$R$41+AG16-(AK17)</f>
        <v>233.20883778411979</v>
      </c>
      <c r="AE25" s="6"/>
      <c r="AF25" s="77">
        <v>0.9</v>
      </c>
      <c r="AG25" s="106">
        <v>173.85</v>
      </c>
      <c r="AH25" s="107">
        <v>0.75</v>
      </c>
      <c r="AI25" s="89" t="s">
        <v>43</v>
      </c>
      <c r="AJ25" s="40" t="s">
        <v>22</v>
      </c>
      <c r="AK25" s="94" t="e">
        <f>IF(AM18=0,INDEX(Calibrador!G38:G110,(ROUNDDOWN(((AK26-80)/(20/72)+1),0)),1),INDEX(Calibrador!G38:G110,(ROUNDUP(((AK26-80)/(20/72))+1,0)),1))</f>
        <v>#REF!</v>
      </c>
      <c r="AL25" s="92" t="e">
        <f>IF(AN18=0,INDEX(Calibrador!G38:G110,(ROUNDDOWN(((AL26-80)/(20/72)+1),0)),1),INDEX(Calibrador!G38:G110,(ROUNDUP(((AL26-80)/(20/72))+1,0)),1))</f>
        <v>#REF!</v>
      </c>
      <c r="AM25" s="113"/>
      <c r="AO25" s="27"/>
      <c r="AP25" s="126" t="s">
        <v>35</v>
      </c>
      <c r="AQ25" s="61">
        <f>$R$41+AT16-(AX17)</f>
        <v>230.23398844281948</v>
      </c>
      <c r="AR25" s="89"/>
      <c r="AS25" s="77">
        <v>0.9</v>
      </c>
      <c r="AT25" s="106">
        <v>210.05</v>
      </c>
      <c r="AU25" s="107">
        <v>0.68200000000000005</v>
      </c>
      <c r="AV25" s="89" t="s">
        <v>43</v>
      </c>
      <c r="AW25" s="40" t="s">
        <v>22</v>
      </c>
      <c r="AX25" s="96" t="str">
        <f>IF(AZ18=0,INDEX(Calibrador!C38:C110,(ROUNDDOWN(((AX26-80)/(20/72)+1),0)),1),INDEX(Calibrador!C38:C110,(ROUNDUP(((AX26-80)/(20/72))+1,0)),1))</f>
        <v>265.3</v>
      </c>
      <c r="AY25" s="95" t="str">
        <f>IF(BA18=0,INDEX(Calibrador!C38:C110,(ROUNDDOWN(((AY26-80)/(20/72)+1),0)),1),INDEX(Calibrador!C38:C110,(ROUNDUP(((AY26-80)/(20/72))+1,0)),1))</f>
        <v>266.8</v>
      </c>
    </row>
    <row r="26" spans="1:53" ht="13.5" thickBot="1">
      <c r="A26" s="100" t="s">
        <v>36</v>
      </c>
      <c r="B26" s="83">
        <f>$R$41+E16+(I18)</f>
        <v>232.1208118286313</v>
      </c>
      <c r="D26" s="78">
        <v>0.8</v>
      </c>
      <c r="E26" s="108">
        <v>170.7</v>
      </c>
      <c r="F26" s="109">
        <v>0.45500000000000002</v>
      </c>
      <c r="G26" s="89" t="s">
        <v>43</v>
      </c>
      <c r="H26" s="40" t="s">
        <v>8</v>
      </c>
      <c r="I26" s="139">
        <f>100*(B25-E25)*(B25-E26)*(B25-E27)/((E24-E25)*(E24-E26)*(E24-E27))+90*(B25-E24)*(B25-E26)*(B25-E27)/((E25-E24)*(E25-E26)*(E25-E27))+80*(B25-E24)*(B25-E25)*(B25-E27)/((E26-E24)*(E26-E25)*(E26-E27))+70*(B25-E24)*(B25-E25)*(B25-E26)/((E27-E24)*(E27-E25)*(E27-E26))</f>
        <v>98.358539165557588</v>
      </c>
      <c r="J26" s="95">
        <f>100*(B26-E25)*(B26-E26)*(B26-E27)/((E24-E25)*(E24-E26)*(E24-E27))+90*(B26-E24)*(B26-E26)*(B26-E27)/((E25-E24)*(E25-E26)*(E25-E27))+80*(B26-E24)*(B26-E25)*(B26-E27)/((E26-E24)*(E26-E25)*(E26-E27))+70*(B26-E24)*(B26-E25)*(B26-E26)/((E27-E24)*(E27-E25)*(E27-E26))</f>
        <v>98.929033836085665</v>
      </c>
      <c r="K26" s="31"/>
      <c r="L26" s="122" t="s">
        <v>50</v>
      </c>
      <c r="M26" s="123">
        <f>M23*('Drive 266'!$B$2-L24)*('Drive 266'!$B$2-L25)/((L23-L24)*(L23-L25))+M24*('Drive 266'!$B$2-L23)*('Drive 266'!$B$2-L25)/((L24-L23)*(L24-L25))+M25*('Drive 266'!$B$2-L23)*('Drive 266'!$B$2-L24)/((L25-L23)*(L25-L24))</f>
        <v>0.72845584278875486</v>
      </c>
      <c r="N26" s="54"/>
      <c r="O26" s="100" t="s">
        <v>36</v>
      </c>
      <c r="P26" s="83">
        <f>$R$41+S16+(W18)</f>
        <v>234.43768712253529</v>
      </c>
      <c r="R26" s="78">
        <v>0.8</v>
      </c>
      <c r="S26" s="108">
        <v>160.55000000000001</v>
      </c>
      <c r="T26" s="109">
        <v>0.5</v>
      </c>
      <c r="U26" s="89" t="s">
        <v>43</v>
      </c>
      <c r="V26" s="40" t="s">
        <v>8</v>
      </c>
      <c r="W26" s="112">
        <f>100*(P25-S25)*(P25-S26)/((S24-S25)*(S24-S26))+90*(P25-S24)*(P25-S26)/((S25-S24)*(S25-S26))+80*(P25-S24)*(P25-S25)/((S26-S24)*(S26-S25))</f>
        <v>104.23692687934305</v>
      </c>
      <c r="X26" s="95">
        <f>100*(P26-S25)*(P26-S26)/((S24-S25)*(S24-S26))+90*(P26-S24)*(P26-S26)/((S25-S24)*(S25-S26))+80*(P26-S24)*(P26-S25)/((S26-S24)*(S26-S25))</f>
        <v>104.96720734715112</v>
      </c>
      <c r="AB26" s="54"/>
      <c r="AC26" s="100" t="s">
        <v>36</v>
      </c>
      <c r="AD26" s="83">
        <f>$R$41+AG16+(AK18)</f>
        <v>235.98921182671273</v>
      </c>
      <c r="AF26" s="78">
        <v>0.8</v>
      </c>
      <c r="AG26" s="108">
        <v>148.44999999999999</v>
      </c>
      <c r="AH26" s="109">
        <v>0.53800000000000003</v>
      </c>
      <c r="AI26" s="89" t="s">
        <v>43</v>
      </c>
      <c r="AJ26" s="30" t="s">
        <v>8</v>
      </c>
      <c r="AK26" s="140">
        <f>100*(AD25-AG25)*(AD25-AG26)/((AG24-AG25)*(AG24-AG26))+90*(AD25-AG24)*(AD25-AG26)/((AG25-AG24)*(AG25-AG26))+80*(AD25-AG24)*(AD25-AG25)/((AG26-AG24)*(AG26-AG25))</f>
        <v>110.7537460732332</v>
      </c>
      <c r="AL26" s="142">
        <f>100*(AD26-AG25)*(AD26-AG26)/((AG24-AG25)*(AG24-AG26))+90*(AD26-AG24)*(AD26-AG26)/((AG25-AG24)*(AG25-AG26))+80*(AD26-AG24)*(AD26-AG25)/((AG26-AG24)*(AG26-AG25))</f>
        <v>111.63602486747794</v>
      </c>
      <c r="AO26" s="27"/>
      <c r="AP26" s="127" t="s">
        <v>36</v>
      </c>
      <c r="AQ26" s="83">
        <f>$R$41+AT16+(AX18)</f>
        <v>231.95588797341341</v>
      </c>
      <c r="AS26" s="78">
        <v>0.8</v>
      </c>
      <c r="AT26" s="108">
        <v>178.4</v>
      </c>
      <c r="AU26" s="109">
        <v>0.46500000000000002</v>
      </c>
      <c r="AV26" s="89" t="s">
        <v>43</v>
      </c>
      <c r="AW26" s="30" t="s">
        <v>8</v>
      </c>
      <c r="AX26" s="98">
        <f>100*(AQ25-AT25)*(AQ25-AT26)/((AT24-AT25)*(AT24-AT26))+90*(AQ25-AT24)*(AQ25-AT26)/((AT25-AT24)*(AT25-AT26))+80*(AQ25-AT24)*(AQ25-AT25)/((AT26-AT24)*(AT26-AT25))</f>
        <v>96.146423714120331</v>
      </c>
      <c r="AY26" s="97">
        <f>100*(AQ26-AT25)*(AQ26-AT26)/((AT24-AT25)*(AT24-AT26))+90*(AQ26-AT24)*(AQ26-AT26)/((AT25-AT24)*(AT25-AT26))+80*(AQ26-AT24)*(AQ26-AT25)/((AT26-AT24)*(AT26-AT25))</f>
        <v>96.662454180523952</v>
      </c>
    </row>
    <row r="27" spans="1:53" ht="13.5" thickBot="1">
      <c r="D27" s="136">
        <v>0.7</v>
      </c>
      <c r="E27" s="137">
        <v>142.65</v>
      </c>
      <c r="F27" s="137">
        <v>0.30499999999999999</v>
      </c>
      <c r="G27" s="89" t="s">
        <v>43</v>
      </c>
      <c r="L27" s="31"/>
      <c r="M27" s="31"/>
      <c r="N27" s="54"/>
      <c r="U27" s="31"/>
      <c r="AB27" s="54"/>
      <c r="AI27" s="31"/>
      <c r="AO27" s="27"/>
      <c r="AV27" s="31"/>
    </row>
    <row r="28" spans="1:53" ht="13.5" thickBot="1">
      <c r="A28" s="27"/>
      <c r="B28" s="27"/>
      <c r="C28" s="27"/>
      <c r="D28" s="27"/>
      <c r="E28" s="27"/>
      <c r="F28" s="27"/>
      <c r="G28" s="54"/>
      <c r="H28" s="27"/>
      <c r="I28" s="27"/>
      <c r="J28" s="27"/>
      <c r="K28" s="27"/>
      <c r="L28" s="27"/>
      <c r="M28" s="54"/>
      <c r="N28" s="54"/>
      <c r="O28" s="115"/>
      <c r="P28" s="115"/>
      <c r="Q28" s="115"/>
      <c r="R28" s="115"/>
      <c r="S28" s="115"/>
      <c r="T28" s="115"/>
      <c r="U28" s="116"/>
      <c r="V28" s="116"/>
      <c r="W28" s="27"/>
      <c r="X28" s="27"/>
      <c r="Y28" s="27"/>
      <c r="Z28" s="54"/>
      <c r="AA28" s="54"/>
      <c r="AB28" s="54"/>
      <c r="AC28" s="27"/>
      <c r="AD28" s="27"/>
      <c r="AE28" s="27"/>
      <c r="AF28" s="27"/>
      <c r="AG28" s="27"/>
      <c r="AH28" s="27"/>
      <c r="AI28" s="54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</row>
    <row r="29" spans="1:53" ht="13.5" customHeight="1" thickBot="1">
      <c r="A29" s="89" t="s">
        <v>24</v>
      </c>
      <c r="B29" s="31"/>
      <c r="D29" s="163" t="s">
        <v>0</v>
      </c>
      <c r="E29" s="164"/>
      <c r="H29" s="163" t="s">
        <v>1</v>
      </c>
      <c r="I29" s="164"/>
      <c r="N29" s="27"/>
      <c r="O29" s="172" t="s">
        <v>15</v>
      </c>
      <c r="P29" s="173"/>
      <c r="Q29" s="173"/>
      <c r="R29" s="173"/>
      <c r="S29" s="173"/>
      <c r="T29" s="174"/>
      <c r="U29" s="128" t="s">
        <v>52</v>
      </c>
      <c r="V29" s="129">
        <v>590</v>
      </c>
      <c r="AB29" s="27"/>
    </row>
    <row r="30" spans="1:53" ht="13.5" customHeight="1" thickBot="1">
      <c r="A30" s="55" t="s">
        <v>28</v>
      </c>
      <c r="B30" s="56">
        <f>('Drive 266'!$B$3*Cálculos!$L$1)</f>
        <v>9.9756405025982424</v>
      </c>
      <c r="D30" s="87" t="s">
        <v>4</v>
      </c>
      <c r="E30" s="61">
        <f>IF('Drive 266'!$B$2&gt;0,'Drive 266'!$B$2*E32,'Drive 266'!$B$2*E33)</f>
        <v>-11.580642993194592</v>
      </c>
      <c r="H30" s="99" t="s">
        <v>37</v>
      </c>
      <c r="I30" s="61">
        <f>'Drive 266'!$B$3*Cálculos!$L$2*B31</f>
        <v>0.78315373115623432</v>
      </c>
      <c r="N30" s="27"/>
      <c r="O30" s="176" t="s">
        <v>30</v>
      </c>
      <c r="P30" s="177"/>
      <c r="Q30" s="176" t="s">
        <v>14</v>
      </c>
      <c r="R30" s="177"/>
      <c r="S30" s="176" t="s">
        <v>31</v>
      </c>
      <c r="T30" s="177"/>
      <c r="U30" s="130" t="s">
        <v>53</v>
      </c>
      <c r="V30" s="129">
        <v>423</v>
      </c>
      <c r="AB30" s="27"/>
    </row>
    <row r="31" spans="1:53" ht="13.5" customHeight="1" thickBot="1">
      <c r="A31" s="59" t="s">
        <v>17</v>
      </c>
      <c r="B31" s="60">
        <f>F38*($T$41-E39)*($T$41-E40)/((E38-E39)*(E38-E40))+F39*($T$41-E38)*($T$41-E40)/((E39-E38)*(E39-E40))+F40*($T$41-E38)*($T$41-E39)/((E40-E38)*(E40-E39))</f>
        <v>1.1226968467886325</v>
      </c>
      <c r="D31" s="87"/>
      <c r="E31" s="63"/>
      <c r="H31" s="85" t="s">
        <v>38</v>
      </c>
      <c r="I31" s="61">
        <f>$L$2*'Drive 266'!$B$3*B31*0.95*(1-(E30*0.015))</f>
        <v>0.87323533331107084</v>
      </c>
      <c r="N31" s="27"/>
      <c r="O31" s="49">
        <v>0.7</v>
      </c>
      <c r="P31" s="84">
        <v>25</v>
      </c>
      <c r="Q31" s="49">
        <v>0.7</v>
      </c>
      <c r="R31" s="84">
        <v>24.75</v>
      </c>
      <c r="S31" s="49">
        <v>0.7</v>
      </c>
      <c r="T31" s="84">
        <v>25</v>
      </c>
      <c r="U31" s="130" t="s">
        <v>51</v>
      </c>
      <c r="V31" s="134">
        <f>ATAN(V34)*180/PI()</f>
        <v>2.1210963966614536</v>
      </c>
      <c r="AB31" s="27"/>
      <c r="AK31" s="141"/>
    </row>
    <row r="32" spans="1:53" ht="13.5" thickBot="1">
      <c r="A32" s="64" t="s">
        <v>34</v>
      </c>
      <c r="B32" s="61">
        <f>B30*B31</f>
        <v>11.199620136964015</v>
      </c>
      <c r="D32" s="65" t="s">
        <v>42</v>
      </c>
      <c r="E32" s="66">
        <f>2.05*POWER(1.0142,E40-$T$41)</f>
        <v>0.95844901216862943</v>
      </c>
      <c r="H32" s="85" t="s">
        <v>39</v>
      </c>
      <c r="I32" s="61">
        <f>$L$2*'Drive 266'!$B$3*B31*1.28*(1-(E30*0.015))</f>
        <v>1.1765697122507059</v>
      </c>
      <c r="N32" s="27"/>
      <c r="O32" s="49">
        <v>0.75</v>
      </c>
      <c r="P32" s="84">
        <v>21</v>
      </c>
      <c r="Q32" s="49">
        <v>0.75</v>
      </c>
      <c r="R32" s="84">
        <v>20.75</v>
      </c>
      <c r="S32" s="49">
        <v>0.75</v>
      </c>
      <c r="T32" s="84">
        <v>21</v>
      </c>
      <c r="U32" s="131"/>
      <c r="V32" s="132">
        <f>ABS(V29-'Drive 266'!B15)</f>
        <v>1</v>
      </c>
      <c r="AB32" s="27"/>
    </row>
    <row r="33" spans="1:38" ht="13.5" thickBot="1">
      <c r="A33" s="138" t="s">
        <v>29</v>
      </c>
      <c r="B33" s="61">
        <f>B32*E35</f>
        <v>11.631949478515926</v>
      </c>
      <c r="C33" s="31"/>
      <c r="D33" s="67" t="s">
        <v>43</v>
      </c>
      <c r="E33" s="68">
        <f>0.6995*POWER(1.01298,E38-$T$41)</f>
        <v>0.79866503401342015</v>
      </c>
      <c r="F33" s="31"/>
      <c r="G33" s="89"/>
      <c r="H33" s="165" t="s">
        <v>40</v>
      </c>
      <c r="I33" s="61">
        <f>(100+(I31/-1.9))/100</f>
        <v>0.99540402456152066</v>
      </c>
      <c r="N33" s="54"/>
      <c r="O33" s="49">
        <v>0.8</v>
      </c>
      <c r="P33" s="84">
        <v>16.5</v>
      </c>
      <c r="Q33" s="49">
        <v>0.8</v>
      </c>
      <c r="R33" s="84">
        <v>16</v>
      </c>
      <c r="S33" s="49">
        <v>0.8</v>
      </c>
      <c r="T33" s="84">
        <v>16</v>
      </c>
      <c r="U33" s="131"/>
      <c r="V33" s="132">
        <f>ABS(V30-'Drive 266'!B16)</f>
        <v>27</v>
      </c>
      <c r="AB33" s="27"/>
      <c r="AJ33" s="143"/>
    </row>
    <row r="34" spans="1:38" ht="13.5" thickBot="1">
      <c r="A34" s="87"/>
      <c r="B34" s="63"/>
      <c r="C34" s="89"/>
      <c r="D34" s="87"/>
      <c r="E34" s="63"/>
      <c r="F34" s="31"/>
      <c r="G34" s="31"/>
      <c r="H34" s="166"/>
      <c r="I34" s="83">
        <f>(100+(I32/-1.9))/100</f>
        <v>0.99380752783025939</v>
      </c>
      <c r="N34" s="54"/>
      <c r="O34" s="49">
        <v>0.85</v>
      </c>
      <c r="P34" s="84">
        <v>12.8</v>
      </c>
      <c r="Q34" s="49">
        <v>0.85</v>
      </c>
      <c r="R34" s="84">
        <v>11.5</v>
      </c>
      <c r="S34" s="49">
        <v>0.85</v>
      </c>
      <c r="T34" s="84">
        <v>12.25</v>
      </c>
      <c r="U34" s="131"/>
      <c r="V34" s="133">
        <f>V32/V33</f>
        <v>3.7037037037037035E-2</v>
      </c>
      <c r="AA34" s="31"/>
      <c r="AB34" s="54"/>
      <c r="AC34" s="31"/>
      <c r="AD34" s="31"/>
      <c r="AE34" s="31"/>
      <c r="AF34" s="31"/>
      <c r="AG34" s="31"/>
      <c r="AH34" s="31"/>
      <c r="AI34" s="31"/>
      <c r="AK34" s="31"/>
      <c r="AL34" s="31"/>
    </row>
    <row r="35" spans="1:38" ht="13.5" thickBot="1">
      <c r="A35" s="69" t="s">
        <v>32</v>
      </c>
      <c r="B35" s="70">
        <f>(B33*I33)+I35+('Drive 266'!B6)</f>
        <v>11.578489324411034</v>
      </c>
      <c r="C35" s="89"/>
      <c r="D35" s="86" t="s">
        <v>45</v>
      </c>
      <c r="E35" s="83">
        <f>IF('Drive 266'!$B$2&gt;0,(100+(E30/-3))/100,(100+(E30/-3))/100)</f>
        <v>1.0386021433106487</v>
      </c>
      <c r="F35" s="31"/>
      <c r="G35" s="31"/>
      <c r="H35" s="74" t="s">
        <v>26</v>
      </c>
      <c r="I35" s="62">
        <f>Cálculos!B31/4*'Drive 266'!$B$5</f>
        <v>0</v>
      </c>
      <c r="N35" s="54"/>
      <c r="O35" s="49">
        <v>0.9</v>
      </c>
      <c r="P35" s="84">
        <v>8</v>
      </c>
      <c r="Q35" s="49">
        <v>0.9</v>
      </c>
      <c r="R35" s="84">
        <v>7.75</v>
      </c>
      <c r="S35" s="49">
        <v>0.9</v>
      </c>
      <c r="T35" s="84">
        <v>8</v>
      </c>
      <c r="U35" s="31"/>
      <c r="V35" s="31"/>
      <c r="AA35" s="31"/>
      <c r="AB35" s="54"/>
      <c r="AC35" s="31"/>
      <c r="AD35" s="31"/>
      <c r="AE35" s="31"/>
      <c r="AF35" s="31"/>
      <c r="AG35" s="31"/>
      <c r="AH35" s="31"/>
      <c r="AI35" s="31"/>
      <c r="AK35" s="31"/>
      <c r="AL35" s="31"/>
    </row>
    <row r="36" spans="1:38" ht="13.5" thickBot="1">
      <c r="A36" s="72" t="s">
        <v>33</v>
      </c>
      <c r="B36" s="73">
        <f>(B33/I34)+I35+('Drive 266'!B6)</f>
        <v>11.704428828297871</v>
      </c>
      <c r="C36" s="89"/>
      <c r="F36" s="31"/>
      <c r="G36" s="31"/>
      <c r="N36" s="54"/>
      <c r="O36" s="49">
        <v>0.92</v>
      </c>
      <c r="P36" s="84">
        <v>6.25</v>
      </c>
      <c r="Q36" s="49">
        <v>0.92</v>
      </c>
      <c r="R36" s="84">
        <v>5.9</v>
      </c>
      <c r="S36" s="49">
        <v>0.92</v>
      </c>
      <c r="T36" s="84">
        <v>8.5</v>
      </c>
      <c r="U36" s="31"/>
      <c r="V36" s="31"/>
      <c r="AB36" s="27"/>
      <c r="AC36" s="31"/>
      <c r="AD36" s="31"/>
      <c r="AE36" s="31"/>
      <c r="AF36" s="31"/>
      <c r="AG36" s="31"/>
      <c r="AH36" s="31"/>
      <c r="AI36" s="31"/>
      <c r="AJ36" s="31"/>
      <c r="AK36" s="31"/>
      <c r="AL36" s="31"/>
    </row>
    <row r="37" spans="1:38" ht="13.5" thickBot="1">
      <c r="C37" s="89"/>
      <c r="D37" s="89"/>
      <c r="E37" s="75" t="s">
        <v>16</v>
      </c>
      <c r="F37" s="75" t="s">
        <v>17</v>
      </c>
      <c r="G37" s="31"/>
      <c r="H37" s="31"/>
      <c r="N37" s="54"/>
      <c r="O37" s="49">
        <v>0.95</v>
      </c>
      <c r="P37" s="84">
        <v>4</v>
      </c>
      <c r="Q37" s="49">
        <v>0.95</v>
      </c>
      <c r="R37" s="41">
        <v>3.75</v>
      </c>
      <c r="S37" s="49">
        <v>0.95</v>
      </c>
      <c r="T37" s="84">
        <v>4</v>
      </c>
      <c r="U37" s="31"/>
      <c r="V37" s="31"/>
      <c r="AB37" s="27"/>
      <c r="AC37" s="31"/>
      <c r="AD37" s="31"/>
      <c r="AE37" s="31"/>
      <c r="AF37" s="31"/>
      <c r="AG37" s="31"/>
      <c r="AH37" s="31"/>
      <c r="AI37" s="31"/>
      <c r="AJ37" s="31"/>
      <c r="AK37" s="31"/>
      <c r="AL37" s="31"/>
    </row>
    <row r="38" spans="1:38" ht="13.5" thickBot="1">
      <c r="A38" s="163" t="s">
        <v>8</v>
      </c>
      <c r="B38" s="164"/>
      <c r="C38" s="89"/>
      <c r="D38" s="76">
        <v>1</v>
      </c>
      <c r="E38" s="104">
        <v>251.28</v>
      </c>
      <c r="F38" s="110">
        <v>1.26</v>
      </c>
      <c r="G38" s="89" t="s">
        <v>43</v>
      </c>
      <c r="I38" s="90" t="s">
        <v>19</v>
      </c>
      <c r="J38" s="91" t="s">
        <v>20</v>
      </c>
      <c r="N38" s="54"/>
      <c r="O38" s="49">
        <v>0.97</v>
      </c>
      <c r="P38" s="84">
        <v>2.35</v>
      </c>
      <c r="Q38" s="49">
        <v>0.97</v>
      </c>
      <c r="R38" s="41">
        <v>2.1</v>
      </c>
      <c r="S38" s="49">
        <v>0.97</v>
      </c>
      <c r="T38" s="84">
        <v>4.5</v>
      </c>
      <c r="U38" s="31"/>
      <c r="V38" s="31"/>
      <c r="AB38" s="27"/>
      <c r="AC38" s="31"/>
      <c r="AD38" s="31"/>
      <c r="AE38" s="31"/>
      <c r="AF38" s="31"/>
      <c r="AG38" s="31"/>
      <c r="AH38" s="31"/>
      <c r="AI38" s="31"/>
      <c r="AJ38" s="31"/>
      <c r="AK38" s="31"/>
      <c r="AL38" s="31"/>
    </row>
    <row r="39" spans="1:38" ht="13.5" thickBot="1">
      <c r="A39" s="99" t="s">
        <v>35</v>
      </c>
      <c r="B39" s="61">
        <f>$T$41+E30-(I31)</f>
        <v>228.54612167349433</v>
      </c>
      <c r="C39" s="89"/>
      <c r="D39" s="77">
        <v>0.9</v>
      </c>
      <c r="E39" s="106">
        <v>218.76</v>
      </c>
      <c r="F39" s="107">
        <v>0.86899999999999999</v>
      </c>
      <c r="G39" s="89" t="s">
        <v>43</v>
      </c>
      <c r="H39" s="40" t="s">
        <v>22</v>
      </c>
      <c r="I39" s="96" t="str">
        <f>INDEX(Calibrador!B38:B110,(ROUNDUP(((I40-80)/(20/72))+1,0)),1)</f>
        <v>247.5</v>
      </c>
      <c r="J39" s="95" t="str">
        <f>INDEX(Calibrador!B38:B110,(ROUNDUP(((J40-80)/(20/72))+1,0)),1)</f>
        <v>249.7</v>
      </c>
      <c r="N39" s="54"/>
      <c r="O39" s="49">
        <v>0.98</v>
      </c>
      <c r="P39" s="84">
        <v>2</v>
      </c>
      <c r="Q39" s="49">
        <v>0.98</v>
      </c>
      <c r="R39" s="41">
        <v>1.5</v>
      </c>
      <c r="S39" s="49">
        <v>0.98</v>
      </c>
      <c r="T39" s="84">
        <v>3.75</v>
      </c>
      <c r="U39" s="31"/>
      <c r="V39" s="31"/>
      <c r="AB39" s="27"/>
      <c r="AC39" s="31"/>
      <c r="AD39" s="31"/>
      <c r="AE39" s="31"/>
      <c r="AF39" s="31"/>
      <c r="AG39" s="31"/>
      <c r="AH39" s="31"/>
      <c r="AI39" s="31"/>
      <c r="AJ39" s="31"/>
      <c r="AK39" s="31"/>
      <c r="AL39" s="31"/>
    </row>
    <row r="40" spans="1:38" ht="13.5" thickBot="1">
      <c r="A40" s="100" t="s">
        <v>36</v>
      </c>
      <c r="B40" s="83">
        <f>$T$41+E30+(I32)</f>
        <v>230.59592671905611</v>
      </c>
      <c r="C40" s="89"/>
      <c r="D40" s="78">
        <v>0.8</v>
      </c>
      <c r="E40" s="108">
        <v>187.08</v>
      </c>
      <c r="F40" s="109">
        <v>0.61</v>
      </c>
      <c r="G40" s="89" t="s">
        <v>43</v>
      </c>
      <c r="H40" s="40" t="s">
        <v>8</v>
      </c>
      <c r="I40" s="112">
        <f>100*(B39-E39)*(B39-E40)/((E38-E39)*(E38-E40))+90*(B39-E38)*(B39-E40)/((E39-E38)*(E39-E40))+80*(B39-E38)*(B39-E39)/((E40-E38)*(E40-E39))</f>
        <v>93.037517336701725</v>
      </c>
      <c r="J40" s="111">
        <f>100*(B40-E39)*(B40-E40)/((E38-E39)*(E38-E40))+90*(B40-E38)*(B40-E40)/((E39-E38)*(E39-E40))+80*(B40-E38)*(B40-E39)/((E40-E38)*(E40-E39))</f>
        <v>93.670675734835484</v>
      </c>
      <c r="N40" s="54"/>
      <c r="O40" s="49">
        <v>1</v>
      </c>
      <c r="P40" s="84">
        <v>0</v>
      </c>
      <c r="Q40" s="49">
        <v>1</v>
      </c>
      <c r="R40" s="41">
        <v>0</v>
      </c>
      <c r="S40" s="49">
        <v>1</v>
      </c>
      <c r="T40" s="84">
        <v>0</v>
      </c>
      <c r="U40" s="31"/>
      <c r="V40" s="31"/>
      <c r="AB40" s="27"/>
      <c r="AC40" s="31"/>
      <c r="AD40" s="31"/>
      <c r="AE40" s="31"/>
      <c r="AF40" s="31"/>
      <c r="AG40" s="31"/>
      <c r="AH40" s="31"/>
      <c r="AI40" s="31"/>
      <c r="AJ40" s="31"/>
      <c r="AK40" s="31"/>
      <c r="AL40" s="31"/>
    </row>
    <row r="41" spans="1:38" ht="13.5" thickBot="1">
      <c r="D41" s="31"/>
      <c r="E41" s="31"/>
      <c r="F41" s="31"/>
      <c r="G41" s="31"/>
      <c r="J41" s="31"/>
      <c r="K41" s="31"/>
      <c r="L41" s="31"/>
      <c r="M41" s="31"/>
      <c r="N41" s="54"/>
      <c r="O41" s="42" t="s">
        <v>49</v>
      </c>
      <c r="P41" s="43">
        <f>LOOKUP('Drive 266'!B7,O31:O40:P31:P40)+('Drive 266'!B1)</f>
        <v>241</v>
      </c>
      <c r="Q41" s="42" t="s">
        <v>49</v>
      </c>
      <c r="R41" s="43">
        <f>LOOKUP('Drive 266'!B7,Q31:Q40:R31:R40)+('Drive 266'!B1)</f>
        <v>241</v>
      </c>
      <c r="S41" s="42" t="s">
        <v>49</v>
      </c>
      <c r="T41" s="43">
        <f>LOOKUP('Drive 266'!B7,S31:S40:T31:T40)+('Drive 266'!B1)</f>
        <v>241</v>
      </c>
      <c r="U41" s="31"/>
      <c r="V41" s="31"/>
      <c r="X41" s="31"/>
      <c r="AB41" s="27"/>
      <c r="AC41" s="31"/>
      <c r="AD41" s="31"/>
      <c r="AE41" s="31"/>
      <c r="AF41" s="31"/>
      <c r="AG41" s="31"/>
      <c r="AH41" s="31"/>
      <c r="AI41" s="31"/>
      <c r="AJ41" s="31"/>
      <c r="AK41" s="31"/>
      <c r="AL41" s="31"/>
    </row>
    <row r="42" spans="1:38" ht="13.5" thickBot="1">
      <c r="A42" s="27"/>
      <c r="B42" s="27"/>
      <c r="C42" s="27"/>
      <c r="D42" s="27"/>
      <c r="E42" s="27"/>
      <c r="F42" s="27"/>
      <c r="G42" s="54"/>
      <c r="H42" s="27"/>
      <c r="I42" s="27"/>
      <c r="J42" s="27"/>
      <c r="K42" s="54"/>
      <c r="L42" s="27"/>
      <c r="M42" s="54"/>
      <c r="N42" s="54"/>
      <c r="O42" s="27"/>
      <c r="P42" s="27"/>
      <c r="Q42" s="27"/>
      <c r="R42" s="27"/>
      <c r="S42" s="27"/>
      <c r="T42" s="27"/>
      <c r="U42" s="27"/>
      <c r="V42" s="27"/>
      <c r="W42" s="116"/>
      <c r="X42" s="116"/>
      <c r="Y42" s="116"/>
      <c r="Z42" s="116"/>
      <c r="AA42" s="116"/>
      <c r="AB42" s="116"/>
      <c r="AC42" s="31"/>
      <c r="AD42" s="31"/>
      <c r="AE42" s="31"/>
      <c r="AF42" s="31"/>
      <c r="AG42" s="31"/>
      <c r="AH42" s="31"/>
      <c r="AI42" s="31"/>
      <c r="AJ42" s="31"/>
      <c r="AK42" s="31"/>
      <c r="AL42" s="31"/>
    </row>
    <row r="43" spans="1:38" ht="13.5" customHeight="1" thickBot="1">
      <c r="A43" s="89" t="s">
        <v>25</v>
      </c>
      <c r="B43" s="31"/>
      <c r="C43" s="31"/>
      <c r="D43" s="163" t="s">
        <v>0</v>
      </c>
      <c r="E43" s="164"/>
      <c r="F43" s="31"/>
      <c r="G43" s="31"/>
      <c r="H43" s="163" t="s">
        <v>1</v>
      </c>
      <c r="I43" s="164"/>
      <c r="J43" s="31"/>
      <c r="K43" s="31"/>
      <c r="N43" s="27"/>
      <c r="O43" s="169" t="s">
        <v>55</v>
      </c>
      <c r="P43" s="175"/>
      <c r="Q43" s="31"/>
      <c r="R43" s="163" t="s">
        <v>0</v>
      </c>
      <c r="S43" s="164"/>
      <c r="T43" s="31"/>
      <c r="U43" s="31"/>
      <c r="V43" s="163" t="s">
        <v>1</v>
      </c>
      <c r="W43" s="164"/>
      <c r="X43" s="31"/>
      <c r="Y43" s="31"/>
      <c r="Z43" s="31"/>
      <c r="AA43" s="31"/>
      <c r="AB43" s="54"/>
      <c r="AC43" s="31"/>
      <c r="AD43" s="31"/>
      <c r="AE43" s="31"/>
      <c r="AF43" s="31"/>
      <c r="AG43" s="31"/>
      <c r="AH43" s="31"/>
      <c r="AI43" s="31"/>
      <c r="AJ43" s="31"/>
      <c r="AK43" s="31"/>
      <c r="AL43" s="31"/>
    </row>
    <row r="44" spans="1:38">
      <c r="A44" s="55" t="s">
        <v>28</v>
      </c>
      <c r="B44" s="56">
        <f>('Drive 266'!$B$3*Cálculos!$L$1)</f>
        <v>9.9756405025982424</v>
      </c>
      <c r="C44" s="89"/>
      <c r="D44" s="87" t="s">
        <v>4</v>
      </c>
      <c r="E44" s="61">
        <f>IF('Drive 266'!$B$2&gt;0,'Drive 266'!$B$2*E46,'Drive 266'!$B$2*E47)</f>
        <v>-17.800818040092551</v>
      </c>
      <c r="F44" s="31"/>
      <c r="G44" s="31"/>
      <c r="H44" s="87" t="s">
        <v>6</v>
      </c>
      <c r="I44" s="61">
        <f>'Drive 266'!$B$3*Cálculos!$L$2*B45</f>
        <v>0.81269020388481417</v>
      </c>
      <c r="J44" s="31"/>
      <c r="K44" s="31"/>
      <c r="L44" s="31"/>
      <c r="N44" s="27"/>
      <c r="O44" s="55" t="s">
        <v>28</v>
      </c>
      <c r="P44" s="56">
        <f>('Drive 266'!$B$3*Cálculos!$L$1)</f>
        <v>9.9756405025982424</v>
      </c>
      <c r="Q44" s="89"/>
      <c r="R44" s="87" t="s">
        <v>4</v>
      </c>
      <c r="S44" s="61">
        <f>IF('Drive 266'!$B$2&gt;0,'Drive 266'!$B$2*S46,'Drive 266'!$B$2*S47)</f>
        <v>-18.192020105426867</v>
      </c>
      <c r="T44" s="31"/>
      <c r="U44" s="31"/>
      <c r="V44" s="87" t="s">
        <v>6</v>
      </c>
      <c r="W44" s="61">
        <f>'Drive 266'!$B$3*Cálculos!$L$2*P45</f>
        <v>0.83337477660245929</v>
      </c>
      <c r="X44" s="31"/>
      <c r="Y44" s="31"/>
      <c r="Z44" s="31"/>
      <c r="AA44" s="31"/>
      <c r="AB44" s="54"/>
      <c r="AC44" s="31"/>
      <c r="AD44" s="31"/>
      <c r="AE44" s="31"/>
      <c r="AF44" s="31"/>
      <c r="AG44" s="31"/>
      <c r="AH44" s="31"/>
      <c r="AI44" s="31"/>
      <c r="AJ44" s="31"/>
      <c r="AK44" s="31"/>
      <c r="AL44" s="31"/>
    </row>
    <row r="45" spans="1:38">
      <c r="A45" s="59" t="s">
        <v>17</v>
      </c>
      <c r="B45" s="60">
        <f>F52*('Drive 266'!$B$1-E53)*('Drive 266'!$B$1-E54)/((E52-E53)*(E52-E54))+F53*('Drive 266'!$B$1-E52)*('Drive 266'!$B$1-E54)/((E53-E52)*(E53-E54))+F54*('Drive 266'!$B$1-E52)*('Drive 266'!$B$1-E53)/((E54-E52)*(E54-E53))</f>
        <v>1.1650391143133974</v>
      </c>
      <c r="C45" s="89"/>
      <c r="D45" s="87"/>
      <c r="E45" s="63"/>
      <c r="F45" s="31"/>
      <c r="G45" s="31"/>
      <c r="H45" s="87" t="s">
        <v>9</v>
      </c>
      <c r="I45" s="61">
        <f>I47*I44*1</f>
        <v>0.86091203869254518</v>
      </c>
      <c r="J45" s="31"/>
      <c r="K45" s="31"/>
      <c r="L45" s="31"/>
      <c r="N45" s="27"/>
      <c r="O45" s="59" t="s">
        <v>17</v>
      </c>
      <c r="P45" s="60">
        <f>T52*('Drive 266'!$B$1-S53)*('Drive 266'!$B$1-S54)/((S52-S53)*(S52-S54))+T53*('Drive 266'!$B$1-S52)*('Drive 266'!$B$1-S54)/((S53-S52)*(S53-S54))+T54*('Drive 266'!$B$1-S52)*('Drive 266'!$B$1-S53)/((S54-S52)*(S54-S53))</f>
        <v>1.1946916635427614</v>
      </c>
      <c r="Q45" s="89"/>
      <c r="R45" s="87"/>
      <c r="S45" s="63"/>
      <c r="T45" s="31"/>
      <c r="U45" s="31"/>
      <c r="V45" s="87" t="s">
        <v>9</v>
      </c>
      <c r="W45" s="61">
        <f>W47*W44*1</f>
        <v>0.88391067890681785</v>
      </c>
      <c r="X45" s="31"/>
      <c r="Y45" s="31"/>
      <c r="Z45" s="31"/>
      <c r="AA45" s="31"/>
      <c r="AB45" s="54"/>
      <c r="AC45" s="31"/>
      <c r="AD45" s="31"/>
      <c r="AE45" s="31"/>
      <c r="AF45" s="31"/>
      <c r="AG45" s="31"/>
      <c r="AH45" s="31"/>
      <c r="AI45" s="31"/>
      <c r="AJ45" s="31"/>
      <c r="AK45" s="31"/>
      <c r="AL45" s="31"/>
    </row>
    <row r="46" spans="1:38">
      <c r="A46" s="64" t="s">
        <v>34</v>
      </c>
      <c r="B46" s="61">
        <f>B44*B45</f>
        <v>11.62201137585591</v>
      </c>
      <c r="C46" s="89"/>
      <c r="D46" s="65" t="s">
        <v>42</v>
      </c>
      <c r="E46" s="66">
        <f>2.13*POWER(0.9995,(E54-'Drive 266'!$B$1))</f>
        <v>2.1353863941709093</v>
      </c>
      <c r="F46" s="89"/>
      <c r="G46" s="31"/>
      <c r="H46" s="87" t="s">
        <v>10</v>
      </c>
      <c r="I46" s="61">
        <f>I44*I48*1</f>
        <v>0.86091203869254518</v>
      </c>
      <c r="J46" s="31"/>
      <c r="K46" s="31"/>
      <c r="L46" s="31"/>
      <c r="N46" s="27"/>
      <c r="O46" s="64" t="s">
        <v>34</v>
      </c>
      <c r="P46" s="61">
        <f>P44*P45</f>
        <v>11.917814546953641</v>
      </c>
      <c r="Q46" s="89"/>
      <c r="R46" s="65" t="s">
        <v>42</v>
      </c>
      <c r="S46" s="66">
        <f>2.02*POWER(1.0003,(S54-'Drive 266'!$B$1))</f>
        <v>2.0220308157068598</v>
      </c>
      <c r="T46" s="89"/>
      <c r="U46" s="31"/>
      <c r="V46" s="87" t="s">
        <v>10</v>
      </c>
      <c r="W46" s="61">
        <f>W44*W48*1</f>
        <v>0.88391067890681785</v>
      </c>
      <c r="X46" s="31"/>
      <c r="Y46" s="31"/>
      <c r="Z46" s="31"/>
      <c r="AA46" s="31"/>
      <c r="AB46" s="54"/>
      <c r="AC46" s="31"/>
      <c r="AD46" s="31"/>
      <c r="AE46" s="31"/>
      <c r="AF46" s="31"/>
      <c r="AG46" s="31"/>
      <c r="AH46" s="31"/>
      <c r="AI46" s="31"/>
      <c r="AJ46" s="31"/>
      <c r="AK46" s="31"/>
      <c r="AL46" s="31"/>
    </row>
    <row r="47" spans="1:38">
      <c r="A47" s="99" t="s">
        <v>29</v>
      </c>
      <c r="B47" s="61">
        <f>B46*E49</f>
        <v>12.311615741727566</v>
      </c>
      <c r="C47" s="89"/>
      <c r="D47" s="67" t="s">
        <v>43</v>
      </c>
      <c r="E47" s="114">
        <f>1.2443*POWER(0.99965,(E52-'Drive 266'!$B$1))</f>
        <v>1.2276426234546587</v>
      </c>
      <c r="F47" s="89"/>
      <c r="G47" s="89"/>
      <c r="H47" s="87" t="s">
        <v>11</v>
      </c>
      <c r="I47" s="61">
        <f>((E49-1)*1)+1</f>
        <v>1.0593360601336419</v>
      </c>
      <c r="J47" s="31"/>
      <c r="K47" s="31"/>
      <c r="L47" s="31"/>
      <c r="N47" s="27"/>
      <c r="O47" s="126" t="s">
        <v>29</v>
      </c>
      <c r="P47" s="61">
        <f>P46*S49</f>
        <v>12.640511619790074</v>
      </c>
      <c r="Q47" s="89"/>
      <c r="R47" s="67" t="s">
        <v>43</v>
      </c>
      <c r="S47" s="114">
        <f>1.203*POWER(1.00084,(S52-'Drive 266'!$B$1))</f>
        <v>1.2546220762363356</v>
      </c>
      <c r="T47" s="89"/>
      <c r="U47" s="89"/>
      <c r="V47" s="87" t="s">
        <v>11</v>
      </c>
      <c r="W47" s="61">
        <f>((S49-1)*1)+1</f>
        <v>1.0606400670180895</v>
      </c>
      <c r="X47" s="31"/>
      <c r="Y47" s="31"/>
      <c r="Z47" s="31"/>
      <c r="AA47" s="31"/>
      <c r="AB47" s="54"/>
      <c r="AC47" s="31"/>
      <c r="AD47" s="31"/>
      <c r="AE47" s="31"/>
      <c r="AF47" s="31"/>
      <c r="AG47" s="31"/>
      <c r="AH47" s="31"/>
      <c r="AI47" s="31"/>
      <c r="AJ47" s="31"/>
      <c r="AK47" s="31"/>
      <c r="AL47" s="31"/>
    </row>
    <row r="48" spans="1:38">
      <c r="A48" s="87"/>
      <c r="B48" s="63"/>
      <c r="C48" s="89"/>
      <c r="D48" s="87"/>
      <c r="E48" s="63"/>
      <c r="G48" s="89"/>
      <c r="H48" s="87" t="s">
        <v>12</v>
      </c>
      <c r="I48" s="61">
        <f>((E49-1)*1)+1</f>
        <v>1.0593360601336419</v>
      </c>
      <c r="J48" s="31"/>
      <c r="N48" s="27"/>
      <c r="O48" s="87"/>
      <c r="P48" s="63"/>
      <c r="Q48" s="89"/>
      <c r="R48" s="87"/>
      <c r="S48" s="63"/>
      <c r="T48" s="89"/>
      <c r="U48" s="89"/>
      <c r="V48" s="87" t="s">
        <v>12</v>
      </c>
      <c r="W48" s="61">
        <f>((S49-1)*1)+1</f>
        <v>1.0606400670180895</v>
      </c>
      <c r="X48" s="31"/>
      <c r="Y48" s="31"/>
      <c r="Z48" s="31"/>
      <c r="AA48" s="31"/>
      <c r="AB48" s="54"/>
      <c r="AC48" s="31"/>
      <c r="AD48" s="31"/>
      <c r="AE48" s="31"/>
      <c r="AF48" s="31"/>
      <c r="AG48" s="31"/>
      <c r="AH48" s="31"/>
      <c r="AI48" s="31"/>
      <c r="AJ48" s="31"/>
      <c r="AK48" s="31"/>
      <c r="AL48" s="31"/>
    </row>
    <row r="49" spans="1:38" ht="13.5" thickBot="1">
      <c r="A49" s="69" t="s">
        <v>32</v>
      </c>
      <c r="B49" s="70">
        <f>(B47*I49)+I51</f>
        <v>12.311615741727566</v>
      </c>
      <c r="C49" s="89"/>
      <c r="D49" s="86" t="s">
        <v>45</v>
      </c>
      <c r="E49" s="71">
        <f>IF('Drive 266'!$B$2&gt;0,(100+(E44/-3))/100,(100+(E44/-3))/100)</f>
        <v>1.0593360601336419</v>
      </c>
      <c r="F49" s="89"/>
      <c r="G49" s="89"/>
      <c r="H49" s="87" t="s">
        <v>5</v>
      </c>
      <c r="I49" s="60">
        <f>(100+(0/-1))/100</f>
        <v>1</v>
      </c>
      <c r="J49" s="31"/>
      <c r="N49" s="27"/>
      <c r="O49" s="69" t="s">
        <v>32</v>
      </c>
      <c r="P49" s="70">
        <f>(P47*W49)+W51</f>
        <v>12.640511619790074</v>
      </c>
      <c r="Q49" s="89"/>
      <c r="R49" s="127" t="s">
        <v>45</v>
      </c>
      <c r="S49" s="71">
        <f>IF('Drive 266'!$B$2&gt;0,(100+(S44/-3))/100,(100+(S44/-3))/100)</f>
        <v>1.0606400670180895</v>
      </c>
      <c r="T49" s="89"/>
      <c r="U49" s="89"/>
      <c r="V49" s="87" t="s">
        <v>5</v>
      </c>
      <c r="W49" s="60">
        <f>(100+(0/-1))/100</f>
        <v>1</v>
      </c>
      <c r="X49" s="31"/>
      <c r="Y49" s="31"/>
      <c r="Z49" s="31"/>
      <c r="AA49" s="31"/>
      <c r="AB49" s="54"/>
      <c r="AC49" s="31"/>
      <c r="AD49" s="31"/>
      <c r="AE49" s="31"/>
      <c r="AF49" s="31"/>
      <c r="AG49" s="31"/>
      <c r="AH49" s="31"/>
      <c r="AI49" s="31"/>
      <c r="AJ49" s="31"/>
      <c r="AK49" s="31"/>
      <c r="AL49" s="31"/>
    </row>
    <row r="50" spans="1:38" ht="13.5" thickBot="1">
      <c r="A50" s="72" t="s">
        <v>33</v>
      </c>
      <c r="B50" s="73">
        <f>(B47/I50)+I51</f>
        <v>12.311615741727566</v>
      </c>
      <c r="C50" s="89"/>
      <c r="F50" s="31"/>
      <c r="G50" s="31"/>
      <c r="H50" s="88"/>
      <c r="I50" s="71">
        <f>(100+(0/-1))/100</f>
        <v>1</v>
      </c>
      <c r="J50" s="31"/>
      <c r="N50" s="27"/>
      <c r="O50" s="72" t="s">
        <v>33</v>
      </c>
      <c r="P50" s="73">
        <f>(P47/W50)+W51</f>
        <v>12.640511619790074</v>
      </c>
      <c r="Q50" s="89"/>
      <c r="T50" s="31"/>
      <c r="U50" s="31"/>
      <c r="V50" s="88"/>
      <c r="W50" s="71">
        <f>(100+(0/-1))/100</f>
        <v>1</v>
      </c>
      <c r="X50" s="31"/>
      <c r="Y50" s="31"/>
      <c r="Z50" s="31"/>
      <c r="AA50" s="31"/>
      <c r="AB50" s="54"/>
      <c r="AC50" s="31"/>
      <c r="AD50" s="31"/>
      <c r="AE50" s="31"/>
      <c r="AF50" s="31"/>
      <c r="AG50" s="31"/>
      <c r="AH50" s="31"/>
      <c r="AI50" s="31"/>
      <c r="AJ50" s="31"/>
      <c r="AK50" s="31"/>
      <c r="AL50" s="31"/>
    </row>
    <row r="51" spans="1:38" ht="13.5" thickBot="1">
      <c r="A51" s="31"/>
      <c r="B51" s="31"/>
      <c r="C51" s="89"/>
      <c r="D51" s="89"/>
      <c r="E51" s="75" t="s">
        <v>16</v>
      </c>
      <c r="F51" s="75" t="s">
        <v>17</v>
      </c>
      <c r="G51" s="31"/>
      <c r="H51" s="74" t="s">
        <v>26</v>
      </c>
      <c r="I51" s="62">
        <f>Cálculos!B45/6*'Drive 266'!$B$5</f>
        <v>0</v>
      </c>
      <c r="J51" s="31"/>
      <c r="N51" s="27"/>
      <c r="O51" s="31"/>
      <c r="P51" s="31"/>
      <c r="Q51" s="89"/>
      <c r="R51" s="89"/>
      <c r="S51" s="75" t="s">
        <v>16</v>
      </c>
      <c r="T51" s="75" t="s">
        <v>17</v>
      </c>
      <c r="U51" s="31"/>
      <c r="V51" s="74" t="s">
        <v>26</v>
      </c>
      <c r="W51" s="62">
        <f>Cálculos!P45/6*'Drive 266'!$B$5</f>
        <v>0</v>
      </c>
      <c r="X51" s="31"/>
      <c r="Y51" s="31"/>
      <c r="Z51" s="31"/>
      <c r="AA51" s="31"/>
      <c r="AB51" s="54"/>
      <c r="AC51" s="31"/>
      <c r="AD51" s="31"/>
      <c r="AE51" s="31"/>
      <c r="AF51" s="31"/>
      <c r="AG51" s="31"/>
      <c r="AH51" s="31"/>
      <c r="AI51" s="31"/>
      <c r="AJ51" s="31"/>
      <c r="AK51" s="31"/>
      <c r="AL51" s="31"/>
    </row>
    <row r="52" spans="1:38" ht="13.5" thickBot="1">
      <c r="A52" s="163" t="s">
        <v>8</v>
      </c>
      <c r="B52" s="164"/>
      <c r="C52" s="89"/>
      <c r="D52" s="76">
        <v>1</v>
      </c>
      <c r="E52" s="104">
        <v>279.5</v>
      </c>
      <c r="F52" s="105">
        <v>1.2849999999999999</v>
      </c>
      <c r="G52" s="89" t="s">
        <v>43</v>
      </c>
      <c r="J52" s="31"/>
      <c r="K52" s="31"/>
      <c r="L52" s="31"/>
      <c r="M52" s="31"/>
      <c r="N52" s="27"/>
      <c r="O52" s="163" t="s">
        <v>8</v>
      </c>
      <c r="P52" s="164"/>
      <c r="Q52" s="89"/>
      <c r="R52" s="76">
        <v>1</v>
      </c>
      <c r="S52" s="104">
        <v>291.04000000000002</v>
      </c>
      <c r="T52" s="105">
        <v>1.367</v>
      </c>
      <c r="U52" s="89" t="s">
        <v>43</v>
      </c>
      <c r="X52" s="31"/>
      <c r="Y52" s="31"/>
      <c r="Z52" s="31"/>
      <c r="AA52" s="31"/>
      <c r="AB52" s="54"/>
      <c r="AC52" s="31"/>
      <c r="AD52" s="31"/>
      <c r="AE52" s="31"/>
      <c r="AF52" s="31"/>
      <c r="AG52" s="31"/>
      <c r="AH52" s="31"/>
      <c r="AI52" s="31"/>
      <c r="AJ52" s="31"/>
      <c r="AK52" s="31"/>
      <c r="AL52" s="31"/>
    </row>
    <row r="53" spans="1:38" ht="13.5" thickBot="1">
      <c r="A53" s="99" t="s">
        <v>35</v>
      </c>
      <c r="B53" s="61">
        <f>'Drive 266'!$B$1+E44-(I45)</f>
        <v>222.3382699212149</v>
      </c>
      <c r="D53" s="77">
        <v>0.9</v>
      </c>
      <c r="E53" s="106">
        <v>257.60000000000002</v>
      </c>
      <c r="F53" s="107">
        <v>1.2090000000000001</v>
      </c>
      <c r="G53" s="89" t="s">
        <v>43</v>
      </c>
      <c r="H53" s="89"/>
      <c r="I53" s="93" t="s">
        <v>19</v>
      </c>
      <c r="J53" s="91" t="s">
        <v>20</v>
      </c>
      <c r="K53" s="31"/>
      <c r="L53" s="31"/>
      <c r="M53" s="31"/>
      <c r="N53" s="27"/>
      <c r="O53" s="126" t="s">
        <v>35</v>
      </c>
      <c r="P53" s="61">
        <f>'Drive 266'!$B$1+S44-(W45)</f>
        <v>221.92406921566629</v>
      </c>
      <c r="R53" s="77">
        <v>0.9</v>
      </c>
      <c r="S53" s="106">
        <v>267.47000000000003</v>
      </c>
      <c r="T53" s="107">
        <v>1.2609999999999999</v>
      </c>
      <c r="U53" s="89" t="s">
        <v>43</v>
      </c>
      <c r="V53" s="89"/>
      <c r="W53" s="93" t="s">
        <v>19</v>
      </c>
      <c r="X53" s="91" t="s">
        <v>20</v>
      </c>
      <c r="Y53" s="31"/>
      <c r="Z53" s="31"/>
      <c r="AA53" s="31"/>
      <c r="AB53" s="54"/>
      <c r="AC53" s="31"/>
      <c r="AD53" s="31"/>
      <c r="AE53" s="31"/>
      <c r="AF53" s="31"/>
      <c r="AG53" s="31"/>
      <c r="AH53" s="31"/>
      <c r="AI53" s="31"/>
      <c r="AJ53" s="31"/>
      <c r="AK53" s="31"/>
      <c r="AL53" s="31"/>
    </row>
    <row r="54" spans="1:38" ht="13.5" thickBot="1">
      <c r="A54" s="100" t="s">
        <v>36</v>
      </c>
      <c r="B54" s="83">
        <f>'Drive 266'!$B$1+E44+(I46)</f>
        <v>224.06009399859997</v>
      </c>
      <c r="D54" s="78">
        <v>0.8</v>
      </c>
      <c r="E54" s="108">
        <v>235.95</v>
      </c>
      <c r="F54" s="109">
        <v>1.1539999999999999</v>
      </c>
      <c r="G54" s="89" t="s">
        <v>43</v>
      </c>
      <c r="H54" s="40" t="s">
        <v>22</v>
      </c>
      <c r="I54" s="94" t="e">
        <f>INDEX(Calibrador!C38:C110,(ROUNDUP(((I55-80)/(20/72))+1,0)),1)</f>
        <v>#VALUE!</v>
      </c>
      <c r="J54" s="92" t="e">
        <f>INDEX(Calibrador!C38:C110,(ROUNDUP(((J55-80)/(20/72))+1,0)),1)</f>
        <v>#VALUE!</v>
      </c>
      <c r="K54" s="31"/>
      <c r="L54" s="31"/>
      <c r="M54" s="31"/>
      <c r="N54" s="27"/>
      <c r="O54" s="127" t="s">
        <v>36</v>
      </c>
      <c r="P54" s="83">
        <f>'Drive 266'!$B$1+S44+(W46)</f>
        <v>223.69189057347995</v>
      </c>
      <c r="R54" s="78">
        <v>0.8</v>
      </c>
      <c r="S54" s="108">
        <v>244.35</v>
      </c>
      <c r="T54" s="109">
        <v>1.2</v>
      </c>
      <c r="U54" s="89" t="s">
        <v>43</v>
      </c>
      <c r="V54" s="40" t="s">
        <v>22</v>
      </c>
      <c r="W54" s="94" t="e">
        <f>INDEX(Calibrador!D38:D110,(ROUNDUP(((W55-80)/(20/72))+1,0)),1)</f>
        <v>#VALUE!</v>
      </c>
      <c r="X54" s="92" t="e">
        <f>INDEX(Calibrador!D38:D110,(ROUNDUP(((X55-80)/(20/72))+1,0)),1)</f>
        <v>#VALUE!</v>
      </c>
      <c r="Y54" s="31"/>
      <c r="Z54" s="31"/>
      <c r="AA54" s="31"/>
      <c r="AB54" s="54"/>
      <c r="AC54" s="31"/>
      <c r="AD54" s="31"/>
      <c r="AE54" s="31"/>
      <c r="AF54" s="31"/>
      <c r="AG54" s="31"/>
      <c r="AH54" s="31"/>
      <c r="AI54" s="31"/>
      <c r="AJ54" s="31"/>
      <c r="AK54" s="31"/>
      <c r="AL54" s="31"/>
    </row>
    <row r="55" spans="1:38" ht="13.5" thickBot="1">
      <c r="G55" s="31"/>
      <c r="H55" s="40" t="s">
        <v>8</v>
      </c>
      <c r="I55" s="96">
        <f>IF(B53&lt;=E53,80+(B53-E54)/((E53-E54)/10),90+(B53-E53)/((E52-E53)/10))</f>
        <v>73.712826753448013</v>
      </c>
      <c r="J55" s="95">
        <f>IF(B54&lt;=E53,80+(B54-E54)/((E53-E54)/10),90+(B54-E53)/((E52-E53)/10))</f>
        <v>74.508126558244797</v>
      </c>
      <c r="K55" s="31"/>
      <c r="L55" s="31"/>
      <c r="M55" s="31"/>
      <c r="N55" s="27"/>
      <c r="U55" s="31"/>
      <c r="V55" s="40" t="s">
        <v>8</v>
      </c>
      <c r="W55" s="112">
        <f>IF(P53&lt;=S53,80+(P53-S54)/((S53-S54)/10),90+(P53-S53)/((S52-S53)/10))</f>
        <v>70.30020294795257</v>
      </c>
      <c r="X55" s="111">
        <f>IF(P54&lt;=S53,80+(P54-S54)/((S53-S54)/10),90+(P54-S53)/((S52-S53)/10))</f>
        <v>71.064831562923871</v>
      </c>
      <c r="Y55" s="31"/>
      <c r="Z55" s="31"/>
      <c r="AA55" s="31"/>
      <c r="AB55" s="54"/>
      <c r="AC55" s="31"/>
      <c r="AD55" s="31"/>
      <c r="AE55" s="31"/>
      <c r="AF55" s="31"/>
      <c r="AG55" s="31"/>
      <c r="AH55" s="31"/>
      <c r="AI55" s="31"/>
      <c r="AJ55" s="31"/>
      <c r="AK55" s="31"/>
      <c r="AL55" s="31"/>
    </row>
    <row r="56" spans="1:38">
      <c r="G56" s="89"/>
      <c r="K56" s="31"/>
      <c r="L56" s="31"/>
      <c r="M56" s="31"/>
      <c r="N56" s="27"/>
      <c r="U56" s="31"/>
      <c r="V56" s="31"/>
      <c r="W56" s="31"/>
      <c r="X56" s="31"/>
      <c r="Y56" s="31"/>
      <c r="Z56" s="31"/>
      <c r="AA56" s="31"/>
      <c r="AB56" s="54"/>
      <c r="AC56" s="31"/>
      <c r="AD56" s="31"/>
      <c r="AE56" s="31"/>
      <c r="AF56" s="31"/>
      <c r="AG56" s="31"/>
      <c r="AH56" s="31"/>
      <c r="AI56" s="31"/>
      <c r="AJ56" s="31"/>
      <c r="AK56" s="31"/>
      <c r="AL56" s="31"/>
    </row>
    <row r="57" spans="1:38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31"/>
      <c r="AD57" s="31"/>
      <c r="AE57" s="31"/>
      <c r="AF57" s="31"/>
      <c r="AG57" s="31"/>
      <c r="AH57" s="31"/>
      <c r="AI57" s="31"/>
      <c r="AJ57" s="31"/>
      <c r="AK57" s="31"/>
      <c r="AL57" s="31"/>
    </row>
    <row r="58" spans="1:38"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</row>
    <row r="59" spans="1:38"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</row>
    <row r="60" spans="1:38">
      <c r="R60" s="113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</row>
    <row r="61" spans="1:38"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</row>
    <row r="62" spans="1:38"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</row>
    <row r="63" spans="1:38"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</row>
    <row r="64" spans="1:38"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</row>
    <row r="65" spans="16:38"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</row>
    <row r="66" spans="16:38"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</row>
    <row r="67" spans="16:38"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</row>
    <row r="68" spans="16:38"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</row>
    <row r="69" spans="16:38"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</row>
    <row r="70" spans="16:38"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</row>
    <row r="71" spans="16:38"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</row>
    <row r="72" spans="16:38"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</row>
    <row r="73" spans="16:38"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</row>
    <row r="74" spans="16:38"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</row>
    <row r="75" spans="16:38"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</row>
    <row r="76" spans="16:38"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</row>
    <row r="77" spans="16:38"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</row>
    <row r="78" spans="16:38"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</row>
    <row r="79" spans="16:38"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</row>
    <row r="80" spans="16:38"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</row>
    <row r="81" spans="16:38"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</row>
    <row r="82" spans="16:38"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</row>
    <row r="83" spans="16:38"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</row>
    <row r="84" spans="16:38"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</row>
    <row r="85" spans="16:38"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</row>
    <row r="86" spans="16:38"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</row>
    <row r="87" spans="16:38"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</row>
    <row r="88" spans="16:38"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</row>
    <row r="89" spans="16:38"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</row>
    <row r="90" spans="16:38"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</row>
    <row r="91" spans="16:38"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</row>
    <row r="92" spans="16:38"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</row>
    <row r="93" spans="16:38"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</row>
    <row r="94" spans="16:38"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</row>
    <row r="95" spans="16:38"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</row>
    <row r="96" spans="16:38"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</row>
    <row r="97" spans="16:38"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</row>
    <row r="98" spans="16:38"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</row>
    <row r="99" spans="16:38"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</row>
    <row r="100" spans="16:38"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</row>
    <row r="101" spans="16:38"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</row>
    <row r="102" spans="16:38"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</row>
    <row r="103" spans="16:38"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</row>
    <row r="104" spans="16:38"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</row>
    <row r="105" spans="16:38"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</row>
    <row r="106" spans="16:38"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</row>
    <row r="107" spans="16:38"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</row>
    <row r="108" spans="16:38"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</row>
    <row r="109" spans="16:38"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</row>
    <row r="110" spans="16:38"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</row>
    <row r="111" spans="16:38"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</row>
    <row r="112" spans="16:38"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</row>
    <row r="113" spans="1:38"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</row>
    <row r="114" spans="1:38"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</row>
    <row r="115" spans="1:38"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</row>
    <row r="116" spans="1:38"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</row>
    <row r="117" spans="1:38"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</row>
    <row r="118" spans="1:38"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</row>
    <row r="119" spans="1:38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</row>
    <row r="120" spans="1:38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</row>
    <row r="121" spans="1:38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</row>
    <row r="122" spans="1:38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</row>
    <row r="123" spans="1:38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</row>
    <row r="124" spans="1:38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</row>
    <row r="125" spans="1:38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</row>
    <row r="126" spans="1:38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</row>
    <row r="127" spans="1:38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</row>
    <row r="128" spans="1:38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</row>
    <row r="129" spans="1:38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</row>
    <row r="130" spans="1:38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</row>
    <row r="131" spans="1:38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</row>
    <row r="132" spans="1:38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</row>
    <row r="133" spans="1:38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</row>
    <row r="134" spans="1:38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</row>
    <row r="135" spans="1:38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</row>
    <row r="136" spans="1:38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</row>
    <row r="137" spans="1:38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</row>
    <row r="138" spans="1:38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</row>
    <row r="139" spans="1:38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</row>
    <row r="140" spans="1:38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</row>
    <row r="141" spans="1:38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</row>
    <row r="142" spans="1:38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</row>
    <row r="143" spans="1:38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</row>
    <row r="144" spans="1:38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</row>
    <row r="145" spans="1:38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</row>
    <row r="146" spans="1:38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</row>
    <row r="147" spans="1:38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</row>
    <row r="148" spans="1:38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</row>
    <row r="149" spans="1:38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</row>
    <row r="150" spans="1:38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</row>
    <row r="151" spans="1:38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</row>
    <row r="152" spans="1:38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</row>
    <row r="153" spans="1:38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</row>
    <row r="154" spans="1:38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</row>
    <row r="155" spans="1:38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</row>
    <row r="156" spans="1:38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</row>
    <row r="157" spans="1:38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</row>
    <row r="158" spans="1:38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</row>
    <row r="159" spans="1:38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</row>
    <row r="160" spans="1:38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</row>
    <row r="161" spans="1:38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</row>
    <row r="162" spans="1:38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</row>
    <row r="163" spans="1:38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</row>
    <row r="164" spans="1:38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</row>
    <row r="165" spans="1:38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</row>
    <row r="166" spans="1:38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</row>
    <row r="167" spans="1:38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</row>
    <row r="168" spans="1:38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</row>
    <row r="169" spans="1:38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</row>
    <row r="170" spans="1:38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</row>
    <row r="171" spans="1:38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</row>
    <row r="172" spans="1:38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</row>
    <row r="173" spans="1:38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</row>
    <row r="174" spans="1:38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</row>
    <row r="175" spans="1:38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</row>
    <row r="176" spans="1:38">
      <c r="A176" s="3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</row>
    <row r="177" spans="1:38">
      <c r="A177" s="3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</row>
    <row r="178" spans="1:38">
      <c r="A178" s="3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</row>
    <row r="179" spans="1:38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</row>
    <row r="180" spans="1:38">
      <c r="A180" s="3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</row>
    <row r="181" spans="1:38">
      <c r="A181" s="3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</row>
    <row r="182" spans="1:38">
      <c r="A182" s="3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</row>
    <row r="183" spans="1:38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</row>
    <row r="184" spans="1:38">
      <c r="A184" s="3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</row>
    <row r="185" spans="1:38">
      <c r="A185" s="3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</row>
    <row r="186" spans="1:38">
      <c r="A186" s="3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</row>
    <row r="187" spans="1:38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</row>
    <row r="188" spans="1:38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</row>
    <row r="189" spans="1:38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</row>
    <row r="190" spans="1:38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</row>
    <row r="191" spans="1:38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</row>
    <row r="192" spans="1:38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</row>
    <row r="193" spans="1:38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</row>
    <row r="194" spans="1:38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</row>
    <row r="195" spans="1:38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</row>
    <row r="196" spans="1:38">
      <c r="A196" s="3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</row>
    <row r="197" spans="1:38">
      <c r="A197" s="3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</row>
    <row r="198" spans="1:38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</row>
    <row r="199" spans="1:38">
      <c r="A199" s="3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</row>
    <row r="200" spans="1:38">
      <c r="A200" s="3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</row>
    <row r="201" spans="1:38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</row>
    <row r="202" spans="1:38">
      <c r="A202" s="31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</row>
    <row r="203" spans="1:38">
      <c r="A203" s="31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</row>
    <row r="204" spans="1:38">
      <c r="A204" s="31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</row>
    <row r="205" spans="1:38">
      <c r="A205" s="31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</row>
    <row r="206" spans="1:38">
      <c r="A206" s="31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</row>
    <row r="207" spans="1:38">
      <c r="A207" s="31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</row>
    <row r="208" spans="1:38">
      <c r="A208" s="31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</row>
    <row r="209" spans="1:38">
      <c r="A209" s="31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</row>
    <row r="210" spans="1:38">
      <c r="A210" s="31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</row>
    <row r="211" spans="1:38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</row>
    <row r="212" spans="1:38">
      <c r="A212" s="31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</row>
    <row r="213" spans="1:38">
      <c r="A213" s="31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</row>
    <row r="214" spans="1:38">
      <c r="A214" s="31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</row>
    <row r="215" spans="1:38">
      <c r="A215" s="31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</row>
    <row r="216" spans="1:38">
      <c r="A216" s="31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</row>
    <row r="217" spans="1:38">
      <c r="A217" s="31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</row>
    <row r="218" spans="1:38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</row>
    <row r="219" spans="1:38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</row>
  </sheetData>
  <mergeCells count="53">
    <mergeCell ref="O52:P52"/>
    <mergeCell ref="O43:P43"/>
    <mergeCell ref="O30:P30"/>
    <mergeCell ref="Q30:R30"/>
    <mergeCell ref="S30:T30"/>
    <mergeCell ref="R43:S43"/>
    <mergeCell ref="V43:W43"/>
    <mergeCell ref="O29:T29"/>
    <mergeCell ref="D29:E29"/>
    <mergeCell ref="H29:I29"/>
    <mergeCell ref="AZ15:BA15"/>
    <mergeCell ref="AW19:AW20"/>
    <mergeCell ref="AP24:AQ24"/>
    <mergeCell ref="AS15:AT15"/>
    <mergeCell ref="AW15:AX15"/>
    <mergeCell ref="AC24:AD24"/>
    <mergeCell ref="K19:L19"/>
    <mergeCell ref="V19:V20"/>
    <mergeCell ref="O24:P24"/>
    <mergeCell ref="AJ1:AK1"/>
    <mergeCell ref="AJ5:AJ6"/>
    <mergeCell ref="AJ15:AK15"/>
    <mergeCell ref="AJ19:AJ20"/>
    <mergeCell ref="AM15:AN15"/>
    <mergeCell ref="AS1:AT1"/>
    <mergeCell ref="AW1:AX1"/>
    <mergeCell ref="AW5:AW6"/>
    <mergeCell ref="AP10:AQ10"/>
    <mergeCell ref="AP1:AQ1"/>
    <mergeCell ref="D1:E1"/>
    <mergeCell ref="O10:P10"/>
    <mergeCell ref="AF1:AG1"/>
    <mergeCell ref="AF15:AG15"/>
    <mergeCell ref="H1:I1"/>
    <mergeCell ref="H5:H6"/>
    <mergeCell ref="AC10:AD10"/>
    <mergeCell ref="R1:S1"/>
    <mergeCell ref="V1:W1"/>
    <mergeCell ref="V5:V6"/>
    <mergeCell ref="K15:L15"/>
    <mergeCell ref="V15:W15"/>
    <mergeCell ref="Y15:Z15"/>
    <mergeCell ref="R15:S15"/>
    <mergeCell ref="A52:B52"/>
    <mergeCell ref="A10:B10"/>
    <mergeCell ref="D15:E15"/>
    <mergeCell ref="H19:H20"/>
    <mergeCell ref="H15:I15"/>
    <mergeCell ref="A24:B24"/>
    <mergeCell ref="H33:H34"/>
    <mergeCell ref="A38:B38"/>
    <mergeCell ref="D43:E43"/>
    <mergeCell ref="H43:I43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3"/>
  <dimension ref="A1:U111"/>
  <sheetViews>
    <sheetView workbookViewId="0">
      <selection activeCell="C83" sqref="C83"/>
    </sheetView>
  </sheetViews>
  <sheetFormatPr defaultRowHeight="12.75"/>
  <cols>
    <col min="2" max="8" width="10.7109375" customWidth="1"/>
    <col min="10" max="19" width="8.7109375" customWidth="1"/>
    <col min="23" max="23" width="2.42578125" customWidth="1"/>
  </cols>
  <sheetData>
    <row r="1" spans="1:21" ht="15">
      <c r="A1" s="143" t="s">
        <v>57</v>
      </c>
      <c r="B1" s="28" t="s">
        <v>131</v>
      </c>
      <c r="C1" s="144" t="s">
        <v>132</v>
      </c>
      <c r="D1" s="28" t="s">
        <v>133</v>
      </c>
      <c r="E1" s="144" t="s">
        <v>134</v>
      </c>
      <c r="F1" s="28" t="s">
        <v>135</v>
      </c>
      <c r="G1" s="28" t="s">
        <v>136</v>
      </c>
      <c r="H1" s="144" t="s">
        <v>137</v>
      </c>
      <c r="I1" s="31"/>
      <c r="J1" s="152">
        <v>266</v>
      </c>
    </row>
    <row r="2" spans="1:21">
      <c r="A2" s="146">
        <v>0.7</v>
      </c>
      <c r="B2" s="148" t="s">
        <v>346</v>
      </c>
      <c r="C2" s="28"/>
      <c r="D2" s="28"/>
      <c r="E2" s="28"/>
      <c r="F2" s="28"/>
      <c r="G2" s="28"/>
      <c r="H2" s="28"/>
      <c r="I2" s="31"/>
      <c r="J2" s="153"/>
      <c r="K2" s="28" t="s">
        <v>495</v>
      </c>
      <c r="R2" s="5"/>
      <c r="S2" s="5"/>
      <c r="T2" s="5"/>
      <c r="U2" s="5"/>
    </row>
    <row r="3" spans="1:21">
      <c r="A3" s="146">
        <f>A2+0.00277777777777777</f>
        <v>0.70277777777777772</v>
      </c>
      <c r="B3" s="148" t="s">
        <v>345</v>
      </c>
      <c r="C3" s="28"/>
      <c r="D3" s="28"/>
      <c r="E3" s="28"/>
      <c r="F3" s="28"/>
      <c r="G3" s="28"/>
      <c r="H3" s="28"/>
      <c r="I3" s="31"/>
      <c r="J3" s="154">
        <v>0.1</v>
      </c>
      <c r="K3" s="155">
        <f t="shared" ref="K3:K34" si="0">K4-(O$111*0.2/72)</f>
        <v>26.600000000001266</v>
      </c>
      <c r="R3" s="5"/>
      <c r="S3" s="5"/>
      <c r="T3" s="5"/>
      <c r="U3" s="5"/>
    </row>
    <row r="4" spans="1:21">
      <c r="A4" s="146">
        <f t="shared" ref="A4:A67" si="1">A3+0.00277777777777777</f>
        <v>0.70555555555555549</v>
      </c>
      <c r="B4" s="148" t="s">
        <v>344</v>
      </c>
      <c r="C4" s="28"/>
      <c r="D4" s="28"/>
      <c r="E4" s="28"/>
      <c r="F4" s="28"/>
      <c r="G4" s="28"/>
      <c r="H4" s="28"/>
      <c r="I4" s="31"/>
      <c r="J4" s="154">
        <f>J3+0.00277777777777777</f>
        <v>0.10277777777777777</v>
      </c>
      <c r="K4" s="155">
        <f t="shared" si="0"/>
        <v>27.338888888890153</v>
      </c>
      <c r="L4" s="154">
        <f>J111+0.00277777777777777</f>
        <v>0.40277777777777674</v>
      </c>
      <c r="M4" s="155">
        <f t="shared" ref="M4:M35" si="2">M5-(O$111*0.2/72)</f>
        <v>107.13888888889038</v>
      </c>
      <c r="N4" s="154">
        <f>L111+0.00277777777777777</f>
        <v>0.70277777777777573</v>
      </c>
      <c r="O4" s="155">
        <f t="shared" ref="O4:O35" si="3">O5-(O$111*0.2/72)</f>
        <v>186.93888888888984</v>
      </c>
      <c r="R4" s="5"/>
      <c r="S4" s="5"/>
      <c r="T4" s="5"/>
      <c r="U4" s="5"/>
    </row>
    <row r="5" spans="1:21">
      <c r="A5" s="146">
        <f t="shared" si="1"/>
        <v>0.70833333333333326</v>
      </c>
      <c r="B5" s="148" t="s">
        <v>343</v>
      </c>
      <c r="C5" s="28"/>
      <c r="D5" s="28"/>
      <c r="E5" s="28"/>
      <c r="F5" s="28"/>
      <c r="G5" s="28"/>
      <c r="H5" s="28"/>
      <c r="I5" s="31"/>
      <c r="J5" s="154">
        <f t="shared" ref="J5:J68" si="4">J4+0.00277777777777777</f>
        <v>0.10555555555555554</v>
      </c>
      <c r="K5" s="155">
        <f t="shared" si="0"/>
        <v>28.07777777777904</v>
      </c>
      <c r="L5" s="154">
        <f t="shared" ref="L5:L24" si="5">L4+0.00277777777777777</f>
        <v>0.4055555555555545</v>
      </c>
      <c r="M5" s="155">
        <f t="shared" si="2"/>
        <v>107.87777777777927</v>
      </c>
      <c r="N5" s="154">
        <f t="shared" ref="N5:N44" si="6">N4+0.00277777777777777</f>
        <v>0.70555555555555349</v>
      </c>
      <c r="O5" s="155">
        <f t="shared" si="3"/>
        <v>187.67777777777872</v>
      </c>
      <c r="R5" s="5"/>
      <c r="S5" s="5"/>
      <c r="T5" s="5"/>
      <c r="U5" s="5"/>
    </row>
    <row r="6" spans="1:21">
      <c r="A6" s="146">
        <f t="shared" si="1"/>
        <v>0.71111111111111103</v>
      </c>
      <c r="B6" s="148" t="s">
        <v>342</v>
      </c>
      <c r="C6" s="28"/>
      <c r="D6" s="28"/>
      <c r="E6" s="28"/>
      <c r="F6" s="28"/>
      <c r="G6" s="28"/>
      <c r="H6" s="28"/>
      <c r="I6" s="31"/>
      <c r="J6" s="154">
        <f t="shared" si="4"/>
        <v>0.10833333333333331</v>
      </c>
      <c r="K6" s="155">
        <f t="shared" si="0"/>
        <v>28.816666666667928</v>
      </c>
      <c r="L6" s="154">
        <f t="shared" si="5"/>
        <v>0.40833333333333227</v>
      </c>
      <c r="M6" s="155">
        <f t="shared" si="2"/>
        <v>108.61666666666817</v>
      </c>
      <c r="N6" s="154">
        <f t="shared" si="6"/>
        <v>0.70833333333333126</v>
      </c>
      <c r="O6" s="155">
        <f t="shared" si="3"/>
        <v>188.4166666666676</v>
      </c>
      <c r="R6" s="5"/>
      <c r="S6" s="5"/>
      <c r="T6" s="5"/>
      <c r="U6" s="5"/>
    </row>
    <row r="7" spans="1:21">
      <c r="A7" s="146">
        <f t="shared" si="1"/>
        <v>0.7138888888888888</v>
      </c>
      <c r="B7" s="148" t="s">
        <v>341</v>
      </c>
      <c r="C7" s="28"/>
      <c r="D7" s="28"/>
      <c r="E7" s="28"/>
      <c r="F7" s="28"/>
      <c r="G7" s="28"/>
      <c r="H7" s="28"/>
      <c r="I7" s="31"/>
      <c r="J7" s="154">
        <f t="shared" si="4"/>
        <v>0.11111111111111108</v>
      </c>
      <c r="K7" s="155">
        <f t="shared" si="0"/>
        <v>29.555555555556815</v>
      </c>
      <c r="L7" s="154">
        <f t="shared" si="5"/>
        <v>0.41111111111111004</v>
      </c>
      <c r="M7" s="155">
        <f t="shared" si="2"/>
        <v>109.35555555555706</v>
      </c>
      <c r="N7" s="154">
        <f t="shared" si="6"/>
        <v>0.71111111111110903</v>
      </c>
      <c r="O7" s="155">
        <f t="shared" si="3"/>
        <v>189.15555555555648</v>
      </c>
      <c r="R7" s="5"/>
      <c r="S7" s="5"/>
      <c r="T7" s="5"/>
      <c r="U7" s="5"/>
    </row>
    <row r="8" spans="1:21">
      <c r="A8" s="146">
        <f t="shared" si="1"/>
        <v>0.71666666666666656</v>
      </c>
      <c r="B8" s="148" t="s">
        <v>340</v>
      </c>
      <c r="C8" s="28"/>
      <c r="D8" s="28"/>
      <c r="E8" s="28"/>
      <c r="F8" s="28"/>
      <c r="G8" s="28"/>
      <c r="H8" s="28"/>
      <c r="I8" s="31"/>
      <c r="J8" s="154">
        <f t="shared" si="4"/>
        <v>0.11388888888888885</v>
      </c>
      <c r="K8" s="155">
        <f t="shared" si="0"/>
        <v>30.294444444445702</v>
      </c>
      <c r="L8" s="154">
        <f t="shared" si="5"/>
        <v>0.41388888888888781</v>
      </c>
      <c r="M8" s="155">
        <f t="shared" si="2"/>
        <v>110.09444444444595</v>
      </c>
      <c r="N8" s="154">
        <f t="shared" si="6"/>
        <v>0.7138888888888868</v>
      </c>
      <c r="O8" s="155">
        <f t="shared" si="3"/>
        <v>189.89444444444536</v>
      </c>
      <c r="R8" s="5"/>
      <c r="S8" s="5"/>
      <c r="T8" s="5"/>
      <c r="U8" s="5"/>
    </row>
    <row r="9" spans="1:21">
      <c r="A9" s="146">
        <f t="shared" si="1"/>
        <v>0.71944444444444433</v>
      </c>
      <c r="B9" s="148" t="s">
        <v>264</v>
      </c>
      <c r="C9" s="28"/>
      <c r="D9" s="28"/>
      <c r="E9" s="28"/>
      <c r="F9" s="28"/>
      <c r="G9" s="28"/>
      <c r="H9" s="28"/>
      <c r="I9" s="31"/>
      <c r="J9" s="154">
        <f t="shared" si="4"/>
        <v>0.11666666666666661</v>
      </c>
      <c r="K9" s="155">
        <f t="shared" si="0"/>
        <v>31.033333333334589</v>
      </c>
      <c r="L9" s="154">
        <f t="shared" si="5"/>
        <v>0.41666666666666557</v>
      </c>
      <c r="M9" s="155">
        <f t="shared" si="2"/>
        <v>110.83333333333485</v>
      </c>
      <c r="N9" s="154">
        <f t="shared" si="6"/>
        <v>0.71666666666666456</v>
      </c>
      <c r="O9" s="155">
        <f t="shared" si="3"/>
        <v>190.63333333333424</v>
      </c>
      <c r="R9" s="5"/>
      <c r="S9" s="5"/>
      <c r="T9" s="5"/>
      <c r="U9" s="5"/>
    </row>
    <row r="10" spans="1:21">
      <c r="A10" s="146">
        <f t="shared" si="1"/>
        <v>0.7222222222222221</v>
      </c>
      <c r="B10" s="148" t="s">
        <v>263</v>
      </c>
      <c r="C10" s="28"/>
      <c r="D10" s="28"/>
      <c r="E10" s="28"/>
      <c r="F10" s="28"/>
      <c r="G10" s="28"/>
      <c r="H10" s="28"/>
      <c r="I10" s="31"/>
      <c r="J10" s="154">
        <f t="shared" si="4"/>
        <v>0.11944444444444438</v>
      </c>
      <c r="K10" s="155">
        <f t="shared" si="0"/>
        <v>31.772222222223476</v>
      </c>
      <c r="L10" s="154">
        <f t="shared" si="5"/>
        <v>0.41944444444444334</v>
      </c>
      <c r="M10" s="155">
        <f t="shared" si="2"/>
        <v>111.57222222222374</v>
      </c>
      <c r="N10" s="154">
        <f t="shared" si="6"/>
        <v>0.71944444444444233</v>
      </c>
      <c r="O10" s="155">
        <f t="shared" si="3"/>
        <v>191.37222222222312</v>
      </c>
      <c r="R10" s="5"/>
      <c r="S10" s="5"/>
      <c r="T10" s="5"/>
      <c r="U10" s="5"/>
    </row>
    <row r="11" spans="1:21">
      <c r="A11" s="146">
        <f t="shared" si="1"/>
        <v>0.72499999999999987</v>
      </c>
      <c r="B11" s="148" t="s">
        <v>339</v>
      </c>
      <c r="C11" s="28"/>
      <c r="D11" s="28"/>
      <c r="E11" s="28"/>
      <c r="F11" s="28"/>
      <c r="G11" s="28"/>
      <c r="H11" s="28"/>
      <c r="I11" s="31"/>
      <c r="J11" s="154">
        <f t="shared" si="4"/>
        <v>0.12222222222222215</v>
      </c>
      <c r="K11" s="155">
        <f t="shared" si="0"/>
        <v>32.511111111112363</v>
      </c>
      <c r="L11" s="154">
        <f t="shared" si="5"/>
        <v>0.42222222222222111</v>
      </c>
      <c r="M11" s="155">
        <f t="shared" si="2"/>
        <v>112.31111111111264</v>
      </c>
      <c r="N11" s="154">
        <f t="shared" si="6"/>
        <v>0.7222222222222201</v>
      </c>
      <c r="O11" s="155">
        <f t="shared" si="3"/>
        <v>192.111111111112</v>
      </c>
      <c r="R11" s="5"/>
      <c r="S11" s="5"/>
      <c r="T11" s="5"/>
      <c r="U11" s="5"/>
    </row>
    <row r="12" spans="1:21">
      <c r="A12" s="146">
        <f t="shared" si="1"/>
        <v>0.72777777777777763</v>
      </c>
      <c r="B12" s="148" t="s">
        <v>338</v>
      </c>
      <c r="C12" s="28"/>
      <c r="D12" s="28"/>
      <c r="E12" s="28"/>
      <c r="F12" s="28"/>
      <c r="G12" s="28"/>
      <c r="H12" s="28"/>
      <c r="I12" s="31"/>
      <c r="J12" s="154">
        <f t="shared" si="4"/>
        <v>0.12499999999999992</v>
      </c>
      <c r="K12" s="155">
        <f t="shared" si="0"/>
        <v>33.250000000001251</v>
      </c>
      <c r="L12" s="154">
        <f t="shared" si="5"/>
        <v>0.42499999999999888</v>
      </c>
      <c r="M12" s="155">
        <f t="shared" si="2"/>
        <v>113.05000000000153</v>
      </c>
      <c r="N12" s="154">
        <f t="shared" si="6"/>
        <v>0.72499999999999787</v>
      </c>
      <c r="O12" s="155">
        <f t="shared" si="3"/>
        <v>192.85000000000088</v>
      </c>
      <c r="R12" s="5"/>
      <c r="S12" s="5"/>
      <c r="T12" s="5"/>
      <c r="U12" s="5"/>
    </row>
    <row r="13" spans="1:21">
      <c r="A13" s="146">
        <f t="shared" si="1"/>
        <v>0.7305555555555554</v>
      </c>
      <c r="B13" s="148" t="s">
        <v>337</v>
      </c>
      <c r="C13" s="28"/>
      <c r="D13" s="28"/>
      <c r="E13" s="28"/>
      <c r="F13" s="28"/>
      <c r="G13" s="28"/>
      <c r="H13" s="28"/>
      <c r="I13" s="31"/>
      <c r="J13" s="154">
        <f t="shared" si="4"/>
        <v>0.12777777777777768</v>
      </c>
      <c r="K13" s="155">
        <f t="shared" si="0"/>
        <v>33.988888888890138</v>
      </c>
      <c r="L13" s="154">
        <f t="shared" si="5"/>
        <v>0.42777777777777665</v>
      </c>
      <c r="M13" s="155">
        <f t="shared" si="2"/>
        <v>113.78888888889043</v>
      </c>
      <c r="N13" s="154">
        <f t="shared" si="6"/>
        <v>0.72777777777777564</v>
      </c>
      <c r="O13" s="155">
        <f t="shared" si="3"/>
        <v>193.58888888888976</v>
      </c>
      <c r="R13" s="5"/>
      <c r="S13" s="5"/>
      <c r="T13" s="5"/>
      <c r="U13" s="5"/>
    </row>
    <row r="14" spans="1:21">
      <c r="A14" s="146">
        <f t="shared" si="1"/>
        <v>0.73333333333333317</v>
      </c>
      <c r="B14" s="148" t="s">
        <v>336</v>
      </c>
      <c r="C14" s="28"/>
      <c r="D14" s="28"/>
      <c r="E14" s="28"/>
      <c r="F14" s="28"/>
      <c r="G14" s="28"/>
      <c r="H14" s="28"/>
      <c r="I14" s="31"/>
      <c r="J14" s="154">
        <f t="shared" si="4"/>
        <v>0.13055555555555545</v>
      </c>
      <c r="K14" s="155">
        <f t="shared" si="0"/>
        <v>34.727777777779025</v>
      </c>
      <c r="L14" s="154">
        <f t="shared" si="5"/>
        <v>0.43055555555555441</v>
      </c>
      <c r="M14" s="155">
        <f t="shared" si="2"/>
        <v>114.52777777777932</v>
      </c>
      <c r="N14" s="154">
        <f t="shared" si="6"/>
        <v>0.7305555555555534</v>
      </c>
      <c r="O14" s="155">
        <f t="shared" si="3"/>
        <v>194.32777777777864</v>
      </c>
      <c r="R14" s="5"/>
      <c r="S14" s="5"/>
      <c r="T14" s="5"/>
      <c r="U14" s="5"/>
    </row>
    <row r="15" spans="1:21">
      <c r="A15" s="146">
        <f t="shared" si="1"/>
        <v>0.73611111111111094</v>
      </c>
      <c r="B15" s="148" t="s">
        <v>335</v>
      </c>
      <c r="C15" s="28"/>
      <c r="D15" s="28"/>
      <c r="E15" s="28"/>
      <c r="F15" s="28"/>
      <c r="G15" s="28"/>
      <c r="H15" s="28"/>
      <c r="I15" s="31"/>
      <c r="J15" s="154">
        <f t="shared" si="4"/>
        <v>0.13333333333333322</v>
      </c>
      <c r="K15" s="155">
        <f t="shared" si="0"/>
        <v>35.466666666667912</v>
      </c>
      <c r="L15" s="154">
        <f t="shared" si="5"/>
        <v>0.43333333333333218</v>
      </c>
      <c r="M15" s="155">
        <f t="shared" si="2"/>
        <v>115.26666666666821</v>
      </c>
      <c r="N15" s="154">
        <f t="shared" si="6"/>
        <v>0.73333333333333117</v>
      </c>
      <c r="O15" s="155">
        <f t="shared" si="3"/>
        <v>195.06666666666752</v>
      </c>
      <c r="R15" s="5"/>
      <c r="S15" s="5"/>
      <c r="T15" s="5"/>
      <c r="U15" s="5"/>
    </row>
    <row r="16" spans="1:21">
      <c r="A16" s="146">
        <f t="shared" si="1"/>
        <v>0.73888888888888871</v>
      </c>
      <c r="B16" s="148" t="s">
        <v>334</v>
      </c>
      <c r="C16" s="28"/>
      <c r="D16" s="28"/>
      <c r="E16" s="28"/>
      <c r="F16" s="28"/>
      <c r="G16" s="28"/>
      <c r="H16" s="28"/>
      <c r="I16" s="31"/>
      <c r="J16" s="154">
        <f t="shared" si="4"/>
        <v>0.13611111111111099</v>
      </c>
      <c r="K16" s="155">
        <f t="shared" si="0"/>
        <v>36.205555555556799</v>
      </c>
      <c r="L16" s="154">
        <f t="shared" si="5"/>
        <v>0.43611111111110995</v>
      </c>
      <c r="M16" s="155">
        <f t="shared" si="2"/>
        <v>116.00555555555711</v>
      </c>
      <c r="N16" s="154">
        <f t="shared" si="6"/>
        <v>0.73611111111110894</v>
      </c>
      <c r="O16" s="155">
        <f t="shared" si="3"/>
        <v>195.8055555555564</v>
      </c>
      <c r="R16" s="5"/>
      <c r="S16" s="5"/>
      <c r="T16" s="5"/>
      <c r="U16" s="5"/>
    </row>
    <row r="17" spans="1:21">
      <c r="A17" s="146">
        <f t="shared" si="1"/>
        <v>0.74166666666666647</v>
      </c>
      <c r="B17" s="148" t="s">
        <v>255</v>
      </c>
      <c r="C17" s="28"/>
      <c r="D17" s="28"/>
      <c r="E17" s="28"/>
      <c r="F17" s="28"/>
      <c r="G17" s="28"/>
      <c r="H17" s="28"/>
      <c r="I17" s="31"/>
      <c r="J17" s="154">
        <f t="shared" si="4"/>
        <v>0.13888888888888876</v>
      </c>
      <c r="K17" s="155">
        <f t="shared" si="0"/>
        <v>36.944444444445686</v>
      </c>
      <c r="L17" s="154">
        <f t="shared" si="5"/>
        <v>0.43888888888888772</v>
      </c>
      <c r="M17" s="155">
        <f t="shared" si="2"/>
        <v>116.744444444446</v>
      </c>
      <c r="N17" s="154">
        <f t="shared" si="6"/>
        <v>0.73888888888888671</v>
      </c>
      <c r="O17" s="155">
        <f t="shared" si="3"/>
        <v>196.54444444444528</v>
      </c>
      <c r="R17" s="5"/>
      <c r="S17" s="5"/>
      <c r="T17" s="5"/>
      <c r="U17" s="5"/>
    </row>
    <row r="18" spans="1:21">
      <c r="A18" s="146">
        <f t="shared" si="1"/>
        <v>0.74444444444444424</v>
      </c>
      <c r="B18" s="148" t="s">
        <v>254</v>
      </c>
      <c r="C18" s="28"/>
      <c r="D18" s="28"/>
      <c r="E18" s="28"/>
      <c r="F18" s="28"/>
      <c r="G18" s="28"/>
      <c r="H18" s="28"/>
      <c r="I18" s="31"/>
      <c r="J18" s="154">
        <f t="shared" si="4"/>
        <v>0.14166666666666652</v>
      </c>
      <c r="K18" s="155">
        <f t="shared" si="0"/>
        <v>37.683333333334573</v>
      </c>
      <c r="L18" s="154">
        <f t="shared" si="5"/>
        <v>0.44166666666666549</v>
      </c>
      <c r="M18" s="155">
        <f t="shared" si="2"/>
        <v>117.4833333333349</v>
      </c>
      <c r="N18" s="154">
        <f t="shared" si="6"/>
        <v>0.74166666666666448</v>
      </c>
      <c r="O18" s="155">
        <f t="shared" si="3"/>
        <v>197.28333333333416</v>
      </c>
      <c r="R18" s="5"/>
      <c r="S18" s="5"/>
      <c r="T18" s="5"/>
      <c r="U18" s="5"/>
    </row>
    <row r="19" spans="1:21">
      <c r="A19" s="146">
        <f t="shared" si="1"/>
        <v>0.74722222222222201</v>
      </c>
      <c r="B19" s="148" t="s">
        <v>333</v>
      </c>
      <c r="C19" s="28"/>
      <c r="D19" s="28"/>
      <c r="E19" s="28"/>
      <c r="F19" s="28"/>
      <c r="G19" s="28"/>
      <c r="H19" s="28"/>
      <c r="I19" s="31"/>
      <c r="J19" s="154">
        <f t="shared" si="4"/>
        <v>0.14444444444444429</v>
      </c>
      <c r="K19" s="155">
        <f t="shared" si="0"/>
        <v>38.422222222223461</v>
      </c>
      <c r="L19" s="154">
        <f t="shared" si="5"/>
        <v>0.44444444444444325</v>
      </c>
      <c r="M19" s="155">
        <f t="shared" si="2"/>
        <v>118.22222222222379</v>
      </c>
      <c r="N19" s="154">
        <f t="shared" si="6"/>
        <v>0.74444444444444224</v>
      </c>
      <c r="O19" s="155">
        <f t="shared" si="3"/>
        <v>198.02222222222304</v>
      </c>
      <c r="R19" s="5"/>
      <c r="S19" s="5"/>
      <c r="T19" s="5"/>
      <c r="U19" s="5"/>
    </row>
    <row r="20" spans="1:21">
      <c r="A20" s="146">
        <f t="shared" si="1"/>
        <v>0.74999999999999978</v>
      </c>
      <c r="B20" s="148" t="s">
        <v>332</v>
      </c>
      <c r="C20" s="28"/>
      <c r="D20" s="28"/>
      <c r="E20" s="28"/>
      <c r="F20" s="28"/>
      <c r="G20" s="28"/>
      <c r="H20" s="28"/>
      <c r="I20" s="31"/>
      <c r="J20" s="154">
        <f t="shared" si="4"/>
        <v>0.14722222222222206</v>
      </c>
      <c r="K20" s="155">
        <f t="shared" si="0"/>
        <v>39.161111111112348</v>
      </c>
      <c r="L20" s="154">
        <f t="shared" si="5"/>
        <v>0.44722222222222102</v>
      </c>
      <c r="M20" s="155">
        <f t="shared" si="2"/>
        <v>118.96111111111269</v>
      </c>
      <c r="N20" s="154">
        <f t="shared" si="6"/>
        <v>0.74722222222222001</v>
      </c>
      <c r="O20" s="155">
        <f t="shared" si="3"/>
        <v>198.76111111111192</v>
      </c>
      <c r="R20" s="5"/>
      <c r="S20" s="5"/>
      <c r="T20" s="5"/>
      <c r="U20" s="5"/>
    </row>
    <row r="21" spans="1:21">
      <c r="A21" s="146">
        <f t="shared" si="1"/>
        <v>0.75277777777777755</v>
      </c>
      <c r="B21" s="148" t="s">
        <v>331</v>
      </c>
      <c r="C21" s="28"/>
      <c r="D21" s="28"/>
      <c r="E21" s="28"/>
      <c r="F21" s="28"/>
      <c r="G21" s="28"/>
      <c r="H21" s="28"/>
      <c r="I21" s="31"/>
      <c r="J21" s="154">
        <f t="shared" si="4"/>
        <v>0.14999999999999983</v>
      </c>
      <c r="K21" s="155">
        <f t="shared" si="0"/>
        <v>39.900000000001235</v>
      </c>
      <c r="L21" s="154">
        <f t="shared" si="5"/>
        <v>0.44999999999999879</v>
      </c>
      <c r="M21" s="155">
        <f t="shared" si="2"/>
        <v>119.70000000000158</v>
      </c>
      <c r="N21" s="154">
        <f t="shared" si="6"/>
        <v>0.74999999999999778</v>
      </c>
      <c r="O21" s="155">
        <f t="shared" si="3"/>
        <v>199.5000000000008</v>
      </c>
      <c r="R21" s="5"/>
      <c r="S21" s="5"/>
      <c r="T21" s="5"/>
      <c r="U21" s="5"/>
    </row>
    <row r="22" spans="1:21">
      <c r="A22" s="146">
        <f t="shared" si="1"/>
        <v>0.75555555555555531</v>
      </c>
      <c r="B22" s="148" t="s">
        <v>330</v>
      </c>
      <c r="C22" s="28"/>
      <c r="D22" s="28"/>
      <c r="E22" s="28"/>
      <c r="F22" s="28"/>
      <c r="G22" s="28"/>
      <c r="H22" s="28"/>
      <c r="I22" s="31"/>
      <c r="J22" s="154">
        <f t="shared" si="4"/>
        <v>0.1527777777777776</v>
      </c>
      <c r="K22" s="155">
        <f t="shared" si="0"/>
        <v>40.638888888890122</v>
      </c>
      <c r="L22" s="154">
        <f t="shared" si="5"/>
        <v>0.45277777777777656</v>
      </c>
      <c r="M22" s="155">
        <f t="shared" si="2"/>
        <v>120.43888888889047</v>
      </c>
      <c r="N22" s="154">
        <f t="shared" si="6"/>
        <v>0.75277777777777555</v>
      </c>
      <c r="O22" s="155">
        <f t="shared" si="3"/>
        <v>200.23888888888968</v>
      </c>
      <c r="R22" s="5"/>
      <c r="S22" s="5"/>
      <c r="T22" s="5"/>
      <c r="U22" s="5"/>
    </row>
    <row r="23" spans="1:21">
      <c r="A23" s="146">
        <f t="shared" si="1"/>
        <v>0.75833333333333308</v>
      </c>
      <c r="B23" s="148" t="s">
        <v>329</v>
      </c>
      <c r="C23" s="28"/>
      <c r="D23" s="28"/>
      <c r="E23" s="28"/>
      <c r="F23" s="28"/>
      <c r="G23" s="28"/>
      <c r="H23" s="28"/>
      <c r="I23" s="31"/>
      <c r="J23" s="154">
        <f t="shared" si="4"/>
        <v>0.15555555555555536</v>
      </c>
      <c r="K23" s="155">
        <f t="shared" si="0"/>
        <v>41.377777777779009</v>
      </c>
      <c r="L23" s="154">
        <f t="shared" si="5"/>
        <v>0.45555555555555433</v>
      </c>
      <c r="M23" s="155">
        <f t="shared" si="2"/>
        <v>121.17777777777937</v>
      </c>
      <c r="N23" s="154">
        <f t="shared" si="6"/>
        <v>0.75555555555555332</v>
      </c>
      <c r="O23" s="155">
        <f t="shared" si="3"/>
        <v>200.97777777777856</v>
      </c>
      <c r="R23" s="5"/>
      <c r="S23" s="5"/>
      <c r="T23" s="5"/>
      <c r="U23" s="5"/>
    </row>
    <row r="24" spans="1:21">
      <c r="A24" s="146">
        <f t="shared" si="1"/>
        <v>0.76111111111111085</v>
      </c>
      <c r="B24" s="148" t="s">
        <v>328</v>
      </c>
      <c r="C24" s="28"/>
      <c r="D24" s="28"/>
      <c r="E24" s="28"/>
      <c r="F24" s="28"/>
      <c r="G24" s="28"/>
      <c r="H24" s="28"/>
      <c r="I24" s="31"/>
      <c r="J24" s="154">
        <f t="shared" si="4"/>
        <v>0.15833333333333313</v>
      </c>
      <c r="K24" s="155">
        <f t="shared" si="0"/>
        <v>42.116666666667896</v>
      </c>
      <c r="L24" s="154">
        <f t="shared" si="5"/>
        <v>0.45833333333333209</v>
      </c>
      <c r="M24" s="155">
        <f t="shared" si="2"/>
        <v>121.91666666666826</v>
      </c>
      <c r="N24" s="154">
        <f t="shared" si="6"/>
        <v>0.75833333333333108</v>
      </c>
      <c r="O24" s="155">
        <f t="shared" si="3"/>
        <v>201.71666666666744</v>
      </c>
      <c r="R24" s="5"/>
      <c r="S24" s="5"/>
      <c r="T24" s="5"/>
      <c r="U24" s="5"/>
    </row>
    <row r="25" spans="1:21">
      <c r="A25" s="146">
        <f t="shared" si="1"/>
        <v>0.76388888888888862</v>
      </c>
      <c r="B25" s="148" t="s">
        <v>246</v>
      </c>
      <c r="C25" s="28"/>
      <c r="D25" s="28"/>
      <c r="E25" s="28"/>
      <c r="F25" s="28"/>
      <c r="G25" s="28"/>
      <c r="H25" s="28"/>
      <c r="I25" s="31"/>
      <c r="J25" s="154">
        <f t="shared" si="4"/>
        <v>0.1611111111111109</v>
      </c>
      <c r="K25" s="155">
        <f t="shared" si="0"/>
        <v>42.855555555556784</v>
      </c>
      <c r="L25" s="154">
        <f t="shared" ref="L25:L88" si="7">L24+0.00277777777777777</f>
        <v>0.46111111111110986</v>
      </c>
      <c r="M25" s="155">
        <f t="shared" si="2"/>
        <v>122.65555555555716</v>
      </c>
      <c r="N25" s="154">
        <f t="shared" si="6"/>
        <v>0.76111111111110885</v>
      </c>
      <c r="O25" s="155">
        <f t="shared" si="3"/>
        <v>202.45555555555632</v>
      </c>
      <c r="R25" s="5"/>
      <c r="S25" s="5"/>
      <c r="T25" s="5"/>
      <c r="U25" s="5"/>
    </row>
    <row r="26" spans="1:21">
      <c r="A26" s="146">
        <f t="shared" si="1"/>
        <v>0.76666666666666639</v>
      </c>
      <c r="B26" s="148" t="s">
        <v>245</v>
      </c>
      <c r="C26" s="28"/>
      <c r="D26" s="28"/>
      <c r="E26" s="28"/>
      <c r="F26" s="28"/>
      <c r="G26" s="28"/>
      <c r="H26" s="28"/>
      <c r="I26" s="31"/>
      <c r="J26" s="154">
        <f t="shared" si="4"/>
        <v>0.16388888888888867</v>
      </c>
      <c r="K26" s="155">
        <f t="shared" si="0"/>
        <v>43.594444444445671</v>
      </c>
      <c r="L26" s="154">
        <f t="shared" si="7"/>
        <v>0.46388888888888763</v>
      </c>
      <c r="M26" s="155">
        <f t="shared" si="2"/>
        <v>123.39444444444605</v>
      </c>
      <c r="N26" s="154">
        <f t="shared" si="6"/>
        <v>0.76388888888888662</v>
      </c>
      <c r="O26" s="155">
        <f t="shared" si="3"/>
        <v>203.1944444444452</v>
      </c>
      <c r="R26" s="5"/>
      <c r="S26" s="5"/>
      <c r="T26" s="5"/>
      <c r="U26" s="5"/>
    </row>
    <row r="27" spans="1:21">
      <c r="A27" s="146">
        <f t="shared" si="1"/>
        <v>0.76944444444444415</v>
      </c>
      <c r="B27" s="148" t="s">
        <v>327</v>
      </c>
      <c r="C27" s="28"/>
      <c r="D27" s="28"/>
      <c r="E27" s="28"/>
      <c r="F27" s="28"/>
      <c r="G27" s="28"/>
      <c r="H27" s="28"/>
      <c r="I27" s="31"/>
      <c r="J27" s="154">
        <f t="shared" si="4"/>
        <v>0.16666666666666644</v>
      </c>
      <c r="K27" s="155">
        <f t="shared" si="0"/>
        <v>44.333333333334558</v>
      </c>
      <c r="L27" s="154">
        <f t="shared" si="7"/>
        <v>0.4666666666666654</v>
      </c>
      <c r="M27" s="155">
        <f t="shared" si="2"/>
        <v>124.13333333333495</v>
      </c>
      <c r="N27" s="154">
        <f t="shared" si="6"/>
        <v>0.76666666666666439</v>
      </c>
      <c r="O27" s="155">
        <f t="shared" si="3"/>
        <v>203.93333333333408</v>
      </c>
      <c r="R27" s="5"/>
      <c r="S27" s="5"/>
      <c r="T27" s="5"/>
      <c r="U27" s="5"/>
    </row>
    <row r="28" spans="1:21">
      <c r="A28" s="146">
        <f t="shared" si="1"/>
        <v>0.77222222222222192</v>
      </c>
      <c r="B28" s="148" t="s">
        <v>326</v>
      </c>
      <c r="C28" s="28"/>
      <c r="D28" s="28"/>
      <c r="E28" s="28"/>
      <c r="F28" s="28"/>
      <c r="G28" s="28"/>
      <c r="H28" s="28"/>
      <c r="I28" s="31"/>
      <c r="J28" s="154">
        <f t="shared" si="4"/>
        <v>0.1694444444444442</v>
      </c>
      <c r="K28" s="155">
        <f t="shared" si="0"/>
        <v>45.072222222223445</v>
      </c>
      <c r="L28" s="154">
        <f t="shared" si="7"/>
        <v>0.46944444444444317</v>
      </c>
      <c r="M28" s="155">
        <f t="shared" si="2"/>
        <v>124.87222222222384</v>
      </c>
      <c r="N28" s="154">
        <f t="shared" si="6"/>
        <v>0.76944444444444215</v>
      </c>
      <c r="O28" s="155">
        <f t="shared" si="3"/>
        <v>204.67222222222296</v>
      </c>
      <c r="R28" s="5"/>
      <c r="S28" s="5"/>
      <c r="T28" s="5"/>
      <c r="U28" s="5"/>
    </row>
    <row r="29" spans="1:21">
      <c r="A29" s="146">
        <f t="shared" si="1"/>
        <v>0.77499999999999969</v>
      </c>
      <c r="B29" s="148" t="s">
        <v>325</v>
      </c>
      <c r="C29" s="28"/>
      <c r="D29" s="28"/>
      <c r="E29" s="28"/>
      <c r="F29" s="28"/>
      <c r="G29" s="28"/>
      <c r="H29" s="28"/>
      <c r="I29" s="31"/>
      <c r="J29" s="154">
        <f t="shared" si="4"/>
        <v>0.17222222222222197</v>
      </c>
      <c r="K29" s="155">
        <f t="shared" si="0"/>
        <v>45.811111111112332</v>
      </c>
      <c r="L29" s="154">
        <f t="shared" si="7"/>
        <v>0.47222222222222093</v>
      </c>
      <c r="M29" s="155">
        <f t="shared" si="2"/>
        <v>125.61111111111273</v>
      </c>
      <c r="N29" s="154">
        <f t="shared" si="6"/>
        <v>0.77222222222221992</v>
      </c>
      <c r="O29" s="155">
        <f t="shared" si="3"/>
        <v>205.41111111111184</v>
      </c>
      <c r="R29" s="5"/>
      <c r="S29" s="5"/>
      <c r="T29" s="5"/>
      <c r="U29" s="5"/>
    </row>
    <row r="30" spans="1:21">
      <c r="A30" s="146">
        <f t="shared" si="1"/>
        <v>0.77777777777777746</v>
      </c>
      <c r="B30" s="148" t="s">
        <v>204</v>
      </c>
      <c r="C30" s="28"/>
      <c r="D30" s="28"/>
      <c r="E30" s="28"/>
      <c r="F30" s="28"/>
      <c r="G30" s="28"/>
      <c r="H30" s="28"/>
      <c r="I30" s="31"/>
      <c r="J30" s="154">
        <f t="shared" si="4"/>
        <v>0.17499999999999974</v>
      </c>
      <c r="K30" s="155">
        <f t="shared" si="0"/>
        <v>46.550000000001219</v>
      </c>
      <c r="L30" s="154">
        <f t="shared" si="7"/>
        <v>0.4749999999999987</v>
      </c>
      <c r="M30" s="155">
        <f t="shared" si="2"/>
        <v>126.35000000000163</v>
      </c>
      <c r="N30" s="154">
        <f t="shared" si="6"/>
        <v>0.77499999999999769</v>
      </c>
      <c r="O30" s="155">
        <f t="shared" si="3"/>
        <v>206.15000000000072</v>
      </c>
      <c r="R30" s="5"/>
      <c r="S30" s="5"/>
      <c r="T30" s="5"/>
      <c r="U30" s="5"/>
    </row>
    <row r="31" spans="1:21">
      <c r="A31" s="146">
        <f t="shared" si="1"/>
        <v>0.78055555555555522</v>
      </c>
      <c r="B31" s="148" t="s">
        <v>203</v>
      </c>
      <c r="C31" s="28"/>
      <c r="D31" s="28"/>
      <c r="E31" s="28"/>
      <c r="F31" s="28"/>
      <c r="G31" s="28"/>
      <c r="H31" s="28"/>
      <c r="I31" s="31"/>
      <c r="J31" s="154">
        <f t="shared" si="4"/>
        <v>0.17777777777777751</v>
      </c>
      <c r="K31" s="155">
        <f t="shared" si="0"/>
        <v>47.288888888890106</v>
      </c>
      <c r="L31" s="154">
        <f t="shared" si="7"/>
        <v>0.47777777777777647</v>
      </c>
      <c r="M31" s="155">
        <f t="shared" si="2"/>
        <v>127.08888888889052</v>
      </c>
      <c r="N31" s="154">
        <f t="shared" si="6"/>
        <v>0.77777777777777546</v>
      </c>
      <c r="O31" s="155">
        <f t="shared" si="3"/>
        <v>206.8888888888896</v>
      </c>
      <c r="R31" s="5"/>
      <c r="S31" s="5"/>
      <c r="T31" s="5"/>
      <c r="U31" s="5"/>
    </row>
    <row r="32" spans="1:21">
      <c r="A32" s="146">
        <f t="shared" si="1"/>
        <v>0.78333333333333299</v>
      </c>
      <c r="B32" s="148" t="s">
        <v>202</v>
      </c>
      <c r="C32" s="28"/>
      <c r="D32" s="28"/>
      <c r="E32" s="28"/>
      <c r="F32" s="28"/>
      <c r="G32" s="28"/>
      <c r="H32" s="28"/>
      <c r="J32" s="154">
        <f t="shared" si="4"/>
        <v>0.18055555555555527</v>
      </c>
      <c r="K32" s="155">
        <f t="shared" si="0"/>
        <v>48.027777777778994</v>
      </c>
      <c r="L32" s="154">
        <f t="shared" si="7"/>
        <v>0.48055555555555424</v>
      </c>
      <c r="M32" s="155">
        <f t="shared" si="2"/>
        <v>127.82777777777942</v>
      </c>
      <c r="N32" s="154">
        <f t="shared" si="6"/>
        <v>0.78055555555555323</v>
      </c>
      <c r="O32" s="155">
        <f t="shared" si="3"/>
        <v>207.62777777777848</v>
      </c>
      <c r="R32" s="5"/>
      <c r="S32" s="5"/>
      <c r="T32" s="5"/>
      <c r="U32" s="5"/>
    </row>
    <row r="33" spans="1:20">
      <c r="A33" s="146">
        <f t="shared" si="1"/>
        <v>0.78611111111111076</v>
      </c>
      <c r="B33" s="148" t="s">
        <v>201</v>
      </c>
      <c r="C33" s="28"/>
      <c r="D33" s="28"/>
      <c r="E33" s="28"/>
      <c r="F33" s="28"/>
      <c r="G33" s="28"/>
      <c r="H33" s="28"/>
      <c r="J33" s="154">
        <f t="shared" si="4"/>
        <v>0.18333333333333304</v>
      </c>
      <c r="K33" s="155">
        <f t="shared" si="0"/>
        <v>48.766666666667881</v>
      </c>
      <c r="L33" s="154">
        <f t="shared" si="7"/>
        <v>0.483333333333332</v>
      </c>
      <c r="M33" s="155">
        <f t="shared" si="2"/>
        <v>128.56666666666831</v>
      </c>
      <c r="N33" s="154">
        <f t="shared" si="6"/>
        <v>0.78333333333333099</v>
      </c>
      <c r="O33" s="155">
        <f t="shared" si="3"/>
        <v>208.36666666666736</v>
      </c>
      <c r="R33" s="5"/>
      <c r="S33" s="5"/>
      <c r="T33" s="5"/>
    </row>
    <row r="34" spans="1:20">
      <c r="A34" s="146">
        <f t="shared" si="1"/>
        <v>0.78888888888888853</v>
      </c>
      <c r="B34" s="148" t="s">
        <v>200</v>
      </c>
      <c r="C34" s="28"/>
      <c r="D34" s="28"/>
      <c r="E34" s="28"/>
      <c r="F34" s="28"/>
      <c r="G34" s="28"/>
      <c r="H34" s="28"/>
      <c r="J34" s="154">
        <f t="shared" si="4"/>
        <v>0.18611111111111081</v>
      </c>
      <c r="K34" s="155">
        <f t="shared" si="0"/>
        <v>49.505555555556768</v>
      </c>
      <c r="L34" s="154">
        <f t="shared" si="7"/>
        <v>0.48611111111110977</v>
      </c>
      <c r="M34" s="155">
        <f t="shared" si="2"/>
        <v>129.30555555555719</v>
      </c>
      <c r="N34" s="154">
        <f t="shared" si="6"/>
        <v>0.78611111111110876</v>
      </c>
      <c r="O34" s="155">
        <f t="shared" si="3"/>
        <v>209.10555555555624</v>
      </c>
      <c r="S34" s="5"/>
    </row>
    <row r="35" spans="1:20">
      <c r="A35" s="146">
        <f t="shared" si="1"/>
        <v>0.7916666666666663</v>
      </c>
      <c r="B35" s="148" t="s">
        <v>324</v>
      </c>
      <c r="C35" s="28"/>
      <c r="D35" s="28"/>
      <c r="E35" s="28"/>
      <c r="F35" s="28"/>
      <c r="G35" s="28"/>
      <c r="H35" s="28"/>
      <c r="J35" s="154">
        <f t="shared" si="4"/>
        <v>0.18888888888888858</v>
      </c>
      <c r="K35" s="155">
        <f t="shared" ref="K35:K66" si="8">K36-(O$111*0.2/72)</f>
        <v>50.244444444445655</v>
      </c>
      <c r="L35" s="154">
        <f t="shared" si="7"/>
        <v>0.48888888888888754</v>
      </c>
      <c r="M35" s="155">
        <f t="shared" si="2"/>
        <v>130.04444444444607</v>
      </c>
      <c r="N35" s="154">
        <f t="shared" si="6"/>
        <v>0.78888888888888653</v>
      </c>
      <c r="O35" s="155">
        <f t="shared" si="3"/>
        <v>209.84444444444512</v>
      </c>
      <c r="S35" s="5"/>
    </row>
    <row r="36" spans="1:20">
      <c r="A36" s="146">
        <f t="shared" si="1"/>
        <v>0.79444444444444406</v>
      </c>
      <c r="B36" s="148" t="s">
        <v>323</v>
      </c>
      <c r="C36" s="28"/>
      <c r="D36" s="28"/>
      <c r="E36" s="28"/>
      <c r="F36" s="28"/>
      <c r="G36" s="28"/>
      <c r="H36" s="28"/>
      <c r="J36" s="154">
        <f t="shared" si="4"/>
        <v>0.19166666666666635</v>
      </c>
      <c r="K36" s="155">
        <f t="shared" si="8"/>
        <v>50.983333333334542</v>
      </c>
      <c r="L36" s="154">
        <f t="shared" si="7"/>
        <v>0.49166666666666531</v>
      </c>
      <c r="M36" s="155">
        <f t="shared" ref="M36:M67" si="9">M37-(O$111*0.2/72)</f>
        <v>130.78333333333495</v>
      </c>
      <c r="N36" s="154">
        <f t="shared" si="6"/>
        <v>0.7916666666666643</v>
      </c>
      <c r="O36" s="155">
        <f t="shared" ref="O36:O67" si="10">O37-(O$111*0.2/72)</f>
        <v>210.583333333334</v>
      </c>
      <c r="S36" s="5"/>
    </row>
    <row r="37" spans="1:20">
      <c r="A37" s="146">
        <f t="shared" si="1"/>
        <v>0.79722222222222183</v>
      </c>
      <c r="B37" s="148" t="s">
        <v>322</v>
      </c>
      <c r="C37" s="28"/>
      <c r="D37" s="28"/>
      <c r="E37" s="28"/>
      <c r="F37" s="28"/>
      <c r="G37" s="28"/>
      <c r="H37" s="28"/>
      <c r="J37" s="154">
        <f t="shared" si="4"/>
        <v>0.19444444444444411</v>
      </c>
      <c r="K37" s="155">
        <f t="shared" si="8"/>
        <v>51.722222222223429</v>
      </c>
      <c r="L37" s="154">
        <f t="shared" si="7"/>
        <v>0.49444444444444308</v>
      </c>
      <c r="M37" s="155">
        <f t="shared" si="9"/>
        <v>131.52222222222383</v>
      </c>
      <c r="N37" s="154">
        <f t="shared" si="6"/>
        <v>0.79444444444444207</v>
      </c>
      <c r="O37" s="155">
        <f t="shared" si="10"/>
        <v>211.32222222222288</v>
      </c>
      <c r="S37" s="5"/>
    </row>
    <row r="38" spans="1:20">
      <c r="A38" s="147">
        <f t="shared" si="1"/>
        <v>0.7999999999999996</v>
      </c>
      <c r="B38" s="145" t="s">
        <v>321</v>
      </c>
      <c r="C38" s="145" t="s">
        <v>130</v>
      </c>
      <c r="D38" s="145" t="s">
        <v>215</v>
      </c>
      <c r="E38" s="145" t="s">
        <v>448</v>
      </c>
      <c r="F38" s="145" t="s">
        <v>207</v>
      </c>
      <c r="G38" s="145" t="s">
        <v>493</v>
      </c>
      <c r="H38" s="145" t="s">
        <v>268</v>
      </c>
      <c r="J38" s="154">
        <f t="shared" si="4"/>
        <v>0.19722222222222188</v>
      </c>
      <c r="K38" s="155">
        <f t="shared" si="8"/>
        <v>52.461111111112317</v>
      </c>
      <c r="L38" s="154">
        <f t="shared" si="7"/>
        <v>0.49722222222222084</v>
      </c>
      <c r="M38" s="155">
        <f t="shared" si="9"/>
        <v>132.26111111111271</v>
      </c>
      <c r="N38" s="154">
        <f t="shared" si="6"/>
        <v>0.79722222222221983</v>
      </c>
      <c r="O38" s="155">
        <f t="shared" si="10"/>
        <v>212.06111111111176</v>
      </c>
      <c r="S38" s="5"/>
    </row>
    <row r="39" spans="1:20">
      <c r="A39" s="146">
        <f t="shared" si="1"/>
        <v>0.80277777777777737</v>
      </c>
      <c r="B39" s="148" t="s">
        <v>320</v>
      </c>
      <c r="C39" s="28" t="s">
        <v>129</v>
      </c>
      <c r="D39" s="148" t="s">
        <v>399</v>
      </c>
      <c r="E39" s="148" t="s">
        <v>447</v>
      </c>
      <c r="F39" s="28" t="s">
        <v>206</v>
      </c>
      <c r="G39" s="148" t="s">
        <v>492</v>
      </c>
      <c r="H39" s="28" t="s">
        <v>267</v>
      </c>
      <c r="J39" s="154">
        <f t="shared" si="4"/>
        <v>0.19999999999999965</v>
      </c>
      <c r="K39" s="155">
        <f t="shared" si="8"/>
        <v>53.200000000001204</v>
      </c>
      <c r="L39" s="154">
        <f t="shared" si="7"/>
        <v>0.49999999999999861</v>
      </c>
      <c r="M39" s="155">
        <f t="shared" si="9"/>
        <v>133.00000000000159</v>
      </c>
      <c r="N39" s="154">
        <f t="shared" si="6"/>
        <v>0.7999999999999976</v>
      </c>
      <c r="O39" s="155">
        <f t="shared" si="10"/>
        <v>212.80000000000064</v>
      </c>
      <c r="S39" s="5"/>
    </row>
    <row r="40" spans="1:20">
      <c r="A40" s="146">
        <f t="shared" si="1"/>
        <v>0.80555555555555514</v>
      </c>
      <c r="B40" s="148" t="s">
        <v>319</v>
      </c>
      <c r="C40" s="28" t="s">
        <v>128</v>
      </c>
      <c r="D40" s="148" t="s">
        <v>172</v>
      </c>
      <c r="E40" s="148" t="s">
        <v>446</v>
      </c>
      <c r="F40" s="28" t="s">
        <v>205</v>
      </c>
      <c r="G40" s="148" t="s">
        <v>491</v>
      </c>
      <c r="H40" s="28" t="s">
        <v>266</v>
      </c>
      <c r="J40" s="154">
        <f t="shared" si="4"/>
        <v>0.20277777777777742</v>
      </c>
      <c r="K40" s="155">
        <f t="shared" si="8"/>
        <v>53.938888888890091</v>
      </c>
      <c r="L40" s="154">
        <f t="shared" si="7"/>
        <v>0.50277777777777644</v>
      </c>
      <c r="M40" s="155">
        <f t="shared" si="9"/>
        <v>133.73888888889047</v>
      </c>
      <c r="N40" s="154">
        <f t="shared" si="6"/>
        <v>0.80277777777777537</v>
      </c>
      <c r="O40" s="155">
        <f t="shared" si="10"/>
        <v>213.53888888888952</v>
      </c>
      <c r="S40" s="5"/>
    </row>
    <row r="41" spans="1:20">
      <c r="A41" s="146">
        <f t="shared" si="1"/>
        <v>0.8083333333333329</v>
      </c>
      <c r="B41" s="148" t="s">
        <v>230</v>
      </c>
      <c r="C41" s="28" t="s">
        <v>127</v>
      </c>
      <c r="D41" s="148" t="s">
        <v>398</v>
      </c>
      <c r="E41" s="148" t="s">
        <v>445</v>
      </c>
      <c r="F41" s="28" t="s">
        <v>204</v>
      </c>
      <c r="G41" s="148" t="s">
        <v>490</v>
      </c>
      <c r="H41" s="28" t="s">
        <v>265</v>
      </c>
      <c r="J41" s="154">
        <f t="shared" si="4"/>
        <v>0.20555555555555519</v>
      </c>
      <c r="K41" s="155">
        <f t="shared" si="8"/>
        <v>54.677777777778978</v>
      </c>
      <c r="L41" s="154">
        <f t="shared" si="7"/>
        <v>0.5055555555555542</v>
      </c>
      <c r="M41" s="155">
        <f t="shared" si="9"/>
        <v>134.47777777777935</v>
      </c>
      <c r="N41" s="154">
        <f t="shared" si="6"/>
        <v>0.80555555555555314</v>
      </c>
      <c r="O41" s="155">
        <f t="shared" si="10"/>
        <v>214.2777777777784</v>
      </c>
    </row>
    <row r="42" spans="1:20">
      <c r="A42" s="146">
        <f t="shared" si="1"/>
        <v>0.81111111111111067</v>
      </c>
      <c r="B42" s="148" t="s">
        <v>318</v>
      </c>
      <c r="C42" s="28" t="s">
        <v>126</v>
      </c>
      <c r="D42" s="148" t="s">
        <v>305</v>
      </c>
      <c r="E42" s="148" t="s">
        <v>332</v>
      </c>
      <c r="F42" s="28" t="s">
        <v>203</v>
      </c>
      <c r="G42" s="148" t="s">
        <v>489</v>
      </c>
      <c r="H42" s="28" t="s">
        <v>264</v>
      </c>
      <c r="J42" s="154">
        <f t="shared" si="4"/>
        <v>0.20833333333333295</v>
      </c>
      <c r="K42" s="155">
        <f t="shared" si="8"/>
        <v>55.416666666667865</v>
      </c>
      <c r="L42" s="154">
        <f t="shared" si="7"/>
        <v>0.50833333333333197</v>
      </c>
      <c r="M42" s="155">
        <f t="shared" si="9"/>
        <v>135.21666666666823</v>
      </c>
      <c r="N42" s="154">
        <f t="shared" si="6"/>
        <v>0.80833333333333091</v>
      </c>
      <c r="O42" s="155">
        <f t="shared" si="10"/>
        <v>215.01666666666728</v>
      </c>
    </row>
    <row r="43" spans="1:20">
      <c r="A43" s="146">
        <f t="shared" si="1"/>
        <v>0.81388888888888844</v>
      </c>
      <c r="B43" s="148" t="s">
        <v>317</v>
      </c>
      <c r="C43" s="28" t="s">
        <v>125</v>
      </c>
      <c r="D43" s="148" t="s">
        <v>304</v>
      </c>
      <c r="E43" s="148" t="s">
        <v>331</v>
      </c>
      <c r="F43" s="28" t="s">
        <v>202</v>
      </c>
      <c r="G43" s="148" t="s">
        <v>488</v>
      </c>
      <c r="H43" s="28" t="s">
        <v>263</v>
      </c>
      <c r="J43" s="154">
        <f t="shared" si="4"/>
        <v>0.21111111111111072</v>
      </c>
      <c r="K43" s="155">
        <f t="shared" si="8"/>
        <v>56.155555555556752</v>
      </c>
      <c r="L43" s="154">
        <f t="shared" si="7"/>
        <v>0.51111111111110974</v>
      </c>
      <c r="M43" s="155">
        <f t="shared" si="9"/>
        <v>135.95555555555711</v>
      </c>
      <c r="N43" s="154">
        <f t="shared" si="6"/>
        <v>0.81111111111110867</v>
      </c>
      <c r="O43" s="155">
        <f t="shared" si="10"/>
        <v>215.75555555555616</v>
      </c>
    </row>
    <row r="44" spans="1:20">
      <c r="A44" s="146">
        <f t="shared" si="1"/>
        <v>0.81666666666666621</v>
      </c>
      <c r="B44" s="148" t="s">
        <v>316</v>
      </c>
      <c r="C44" s="28" t="s">
        <v>124</v>
      </c>
      <c r="D44" s="148" t="s">
        <v>397</v>
      </c>
      <c r="E44" s="148" t="s">
        <v>444</v>
      </c>
      <c r="F44" s="28" t="s">
        <v>201</v>
      </c>
      <c r="G44" s="148" t="s">
        <v>487</v>
      </c>
      <c r="H44" s="28" t="s">
        <v>262</v>
      </c>
      <c r="J44" s="154">
        <f t="shared" si="4"/>
        <v>0.21388888888888849</v>
      </c>
      <c r="K44" s="155">
        <f t="shared" si="8"/>
        <v>56.894444444445639</v>
      </c>
      <c r="L44" s="154">
        <f t="shared" si="7"/>
        <v>0.51388888888888751</v>
      </c>
      <c r="M44" s="155">
        <f t="shared" si="9"/>
        <v>136.69444444444599</v>
      </c>
      <c r="N44" s="154">
        <f t="shared" si="6"/>
        <v>0.81388888888888644</v>
      </c>
      <c r="O44" s="155">
        <f t="shared" si="10"/>
        <v>216.49444444444504</v>
      </c>
    </row>
    <row r="45" spans="1:20">
      <c r="A45" s="146">
        <f t="shared" si="1"/>
        <v>0.81944444444444398</v>
      </c>
      <c r="B45" s="148" t="s">
        <v>315</v>
      </c>
      <c r="C45" s="28" t="s">
        <v>123</v>
      </c>
      <c r="D45" s="148" t="s">
        <v>396</v>
      </c>
      <c r="E45" s="148" t="s">
        <v>443</v>
      </c>
      <c r="F45" s="28" t="s">
        <v>200</v>
      </c>
      <c r="G45" s="148" t="s">
        <v>486</v>
      </c>
      <c r="H45" s="28" t="s">
        <v>261</v>
      </c>
      <c r="J45" s="154">
        <f t="shared" si="4"/>
        <v>0.21666666666666626</v>
      </c>
      <c r="K45" s="155">
        <f t="shared" si="8"/>
        <v>57.633333333334527</v>
      </c>
      <c r="L45" s="154">
        <f t="shared" si="7"/>
        <v>0.51666666666666528</v>
      </c>
      <c r="M45" s="155">
        <f t="shared" si="9"/>
        <v>137.43333333333487</v>
      </c>
      <c r="N45" s="154">
        <f t="shared" ref="N45:N108" si="11">N44+0.00277777777777777</f>
        <v>0.81666666666666421</v>
      </c>
      <c r="O45" s="155">
        <f t="shared" si="10"/>
        <v>217.23333333333392</v>
      </c>
    </row>
    <row r="46" spans="1:20">
      <c r="A46" s="146">
        <f t="shared" si="1"/>
        <v>0.82222222222222174</v>
      </c>
      <c r="B46" s="148" t="s">
        <v>314</v>
      </c>
      <c r="C46" s="28" t="s">
        <v>122</v>
      </c>
      <c r="D46" s="148" t="s">
        <v>395</v>
      </c>
      <c r="E46" s="148" t="s">
        <v>442</v>
      </c>
      <c r="F46" s="28" t="s">
        <v>199</v>
      </c>
      <c r="G46" s="148" t="s">
        <v>485</v>
      </c>
      <c r="H46" s="28" t="s">
        <v>260</v>
      </c>
      <c r="J46" s="154">
        <f t="shared" si="4"/>
        <v>0.21944444444444403</v>
      </c>
      <c r="K46" s="155">
        <f t="shared" si="8"/>
        <v>58.372222222223414</v>
      </c>
      <c r="L46" s="154">
        <f t="shared" si="7"/>
        <v>0.51944444444444304</v>
      </c>
      <c r="M46" s="155">
        <f t="shared" si="9"/>
        <v>138.17222222222375</v>
      </c>
      <c r="N46" s="154">
        <f t="shared" si="11"/>
        <v>0.81944444444444198</v>
      </c>
      <c r="O46" s="155">
        <f t="shared" si="10"/>
        <v>217.9722222222228</v>
      </c>
    </row>
    <row r="47" spans="1:20">
      <c r="A47" s="146">
        <f t="shared" si="1"/>
        <v>0.82499999999999951</v>
      </c>
      <c r="B47" s="148" t="s">
        <v>313</v>
      </c>
      <c r="C47" s="28" t="s">
        <v>121</v>
      </c>
      <c r="D47" s="148" t="s">
        <v>394</v>
      </c>
      <c r="E47" s="148" t="s">
        <v>441</v>
      </c>
      <c r="F47" s="28" t="s">
        <v>198</v>
      </c>
      <c r="G47" s="148" t="s">
        <v>484</v>
      </c>
      <c r="H47" s="28" t="s">
        <v>259</v>
      </c>
      <c r="J47" s="154">
        <f t="shared" si="4"/>
        <v>0.22222222222222179</v>
      </c>
      <c r="K47" s="155">
        <f t="shared" si="8"/>
        <v>59.111111111112301</v>
      </c>
      <c r="L47" s="154">
        <f t="shared" si="7"/>
        <v>0.52222222222222081</v>
      </c>
      <c r="M47" s="155">
        <f t="shared" si="9"/>
        <v>138.91111111111263</v>
      </c>
      <c r="N47" s="154">
        <f t="shared" si="11"/>
        <v>0.82222222222221975</v>
      </c>
      <c r="O47" s="155">
        <f t="shared" si="10"/>
        <v>218.71111111111168</v>
      </c>
    </row>
    <row r="48" spans="1:20">
      <c r="A48" s="146">
        <f t="shared" si="1"/>
        <v>0.82777777777777728</v>
      </c>
      <c r="B48" s="148" t="s">
        <v>312</v>
      </c>
      <c r="C48" s="28" t="s">
        <v>120</v>
      </c>
      <c r="D48" s="148" t="s">
        <v>393</v>
      </c>
      <c r="E48" s="148" t="s">
        <v>440</v>
      </c>
      <c r="F48" s="28" t="s">
        <v>197</v>
      </c>
      <c r="G48" s="148" t="s">
        <v>483</v>
      </c>
      <c r="H48" s="28" t="s">
        <v>258</v>
      </c>
      <c r="J48" s="154">
        <f t="shared" si="4"/>
        <v>0.22499999999999956</v>
      </c>
      <c r="K48" s="155">
        <f t="shared" si="8"/>
        <v>59.850000000001188</v>
      </c>
      <c r="L48" s="154">
        <f t="shared" si="7"/>
        <v>0.52499999999999858</v>
      </c>
      <c r="M48" s="155">
        <f t="shared" si="9"/>
        <v>139.65000000000151</v>
      </c>
      <c r="N48" s="154">
        <f t="shared" si="11"/>
        <v>0.82499999999999751</v>
      </c>
      <c r="O48" s="155">
        <f t="shared" si="10"/>
        <v>219.45000000000056</v>
      </c>
    </row>
    <row r="49" spans="1:15">
      <c r="A49" s="146">
        <f t="shared" si="1"/>
        <v>0.83055555555555505</v>
      </c>
      <c r="B49" s="148" t="s">
        <v>224</v>
      </c>
      <c r="C49" s="28" t="s">
        <v>119</v>
      </c>
      <c r="D49" s="148" t="s">
        <v>164</v>
      </c>
      <c r="E49" s="148" t="s">
        <v>439</v>
      </c>
      <c r="F49" s="28" t="s">
        <v>196</v>
      </c>
      <c r="G49" s="148" t="s">
        <v>344</v>
      </c>
      <c r="H49" s="28" t="s">
        <v>257</v>
      </c>
      <c r="J49" s="154">
        <f t="shared" si="4"/>
        <v>0.22777777777777733</v>
      </c>
      <c r="K49" s="155">
        <f t="shared" si="8"/>
        <v>60.588888888890075</v>
      </c>
      <c r="L49" s="154">
        <f t="shared" si="7"/>
        <v>0.52777777777777635</v>
      </c>
      <c r="M49" s="155">
        <f t="shared" si="9"/>
        <v>140.38888888889039</v>
      </c>
      <c r="N49" s="154">
        <f t="shared" si="11"/>
        <v>0.82777777777777528</v>
      </c>
      <c r="O49" s="155">
        <f t="shared" si="10"/>
        <v>220.18888888888944</v>
      </c>
    </row>
    <row r="50" spans="1:15">
      <c r="A50" s="146">
        <f t="shared" si="1"/>
        <v>0.83333333333333282</v>
      </c>
      <c r="B50" s="148" t="s">
        <v>311</v>
      </c>
      <c r="C50" s="28" t="s">
        <v>118</v>
      </c>
      <c r="D50" s="148" t="s">
        <v>392</v>
      </c>
      <c r="E50" s="148" t="s">
        <v>438</v>
      </c>
      <c r="F50" s="28" t="s">
        <v>195</v>
      </c>
      <c r="G50" s="148" t="s">
        <v>482</v>
      </c>
      <c r="H50" s="28" t="s">
        <v>256</v>
      </c>
      <c r="J50" s="154">
        <f t="shared" si="4"/>
        <v>0.2305555555555551</v>
      </c>
      <c r="K50" s="155">
        <f t="shared" si="8"/>
        <v>61.327777777778962</v>
      </c>
      <c r="L50" s="154">
        <f t="shared" si="7"/>
        <v>0.53055555555555411</v>
      </c>
      <c r="M50" s="155">
        <f t="shared" si="9"/>
        <v>141.12777777777927</v>
      </c>
      <c r="N50" s="154">
        <f t="shared" si="11"/>
        <v>0.83055555555555305</v>
      </c>
      <c r="O50" s="155">
        <f t="shared" si="10"/>
        <v>220.92777777777832</v>
      </c>
    </row>
    <row r="51" spans="1:15">
      <c r="A51" s="146">
        <f t="shared" si="1"/>
        <v>0.83611111111111058</v>
      </c>
      <c r="B51" s="148" t="s">
        <v>310</v>
      </c>
      <c r="C51" s="28" t="s">
        <v>117</v>
      </c>
      <c r="D51" s="148" t="s">
        <v>391</v>
      </c>
      <c r="E51" s="148" t="s">
        <v>437</v>
      </c>
      <c r="F51" s="28" t="s">
        <v>194</v>
      </c>
      <c r="G51" s="148" t="s">
        <v>481</v>
      </c>
      <c r="H51" s="28" t="s">
        <v>255</v>
      </c>
      <c r="J51" s="154">
        <f t="shared" si="4"/>
        <v>0.23333333333333287</v>
      </c>
      <c r="K51" s="155">
        <f t="shared" si="8"/>
        <v>62.066666666667849</v>
      </c>
      <c r="L51" s="154">
        <f t="shared" si="7"/>
        <v>0.53333333333333188</v>
      </c>
      <c r="M51" s="155">
        <f t="shared" si="9"/>
        <v>141.86666666666815</v>
      </c>
      <c r="N51" s="154">
        <f t="shared" si="11"/>
        <v>0.83333333333333082</v>
      </c>
      <c r="O51" s="155">
        <f t="shared" si="10"/>
        <v>221.6666666666672</v>
      </c>
    </row>
    <row r="52" spans="1:15">
      <c r="A52" s="146">
        <f t="shared" si="1"/>
        <v>0.83888888888888835</v>
      </c>
      <c r="B52" s="148" t="s">
        <v>127</v>
      </c>
      <c r="C52" s="28" t="s">
        <v>116</v>
      </c>
      <c r="D52" s="148" t="s">
        <v>390</v>
      </c>
      <c r="E52" s="148" t="s">
        <v>436</v>
      </c>
      <c r="F52" s="28" t="s">
        <v>193</v>
      </c>
      <c r="G52" s="148" t="s">
        <v>480</v>
      </c>
      <c r="H52" s="28" t="s">
        <v>254</v>
      </c>
      <c r="J52" s="154">
        <f t="shared" si="4"/>
        <v>0.23611111111111063</v>
      </c>
      <c r="K52" s="155">
        <f t="shared" si="8"/>
        <v>62.805555555556737</v>
      </c>
      <c r="L52" s="154">
        <f t="shared" si="7"/>
        <v>0.53611111111110965</v>
      </c>
      <c r="M52" s="155">
        <f t="shared" si="9"/>
        <v>142.60555555555703</v>
      </c>
      <c r="N52" s="154">
        <f t="shared" si="11"/>
        <v>0.83611111111110858</v>
      </c>
      <c r="O52" s="155">
        <f t="shared" si="10"/>
        <v>222.40555555555608</v>
      </c>
    </row>
    <row r="53" spans="1:15">
      <c r="A53" s="146">
        <f t="shared" si="1"/>
        <v>0.84166666666666612</v>
      </c>
      <c r="B53" s="148" t="s">
        <v>126</v>
      </c>
      <c r="C53" s="28" t="s">
        <v>115</v>
      </c>
      <c r="D53" s="148" t="s">
        <v>104</v>
      </c>
      <c r="E53" s="148" t="s">
        <v>435</v>
      </c>
      <c r="F53" s="28" t="s">
        <v>192</v>
      </c>
      <c r="G53" s="148" t="s">
        <v>479</v>
      </c>
      <c r="H53" s="28" t="s">
        <v>253</v>
      </c>
      <c r="J53" s="154">
        <f t="shared" si="4"/>
        <v>0.2388888888888884</v>
      </c>
      <c r="K53" s="155">
        <f t="shared" si="8"/>
        <v>63.544444444445624</v>
      </c>
      <c r="L53" s="154">
        <f t="shared" si="7"/>
        <v>0.53888888888888742</v>
      </c>
      <c r="M53" s="155">
        <f t="shared" si="9"/>
        <v>143.34444444444591</v>
      </c>
      <c r="N53" s="154">
        <f t="shared" si="11"/>
        <v>0.83888888888888635</v>
      </c>
      <c r="O53" s="155">
        <f t="shared" si="10"/>
        <v>223.14444444444496</v>
      </c>
    </row>
    <row r="54" spans="1:15">
      <c r="A54" s="146">
        <f t="shared" si="1"/>
        <v>0.84444444444444389</v>
      </c>
      <c r="B54" s="148" t="s">
        <v>125</v>
      </c>
      <c r="C54" s="28" t="s">
        <v>114</v>
      </c>
      <c r="D54" s="148" t="s">
        <v>103</v>
      </c>
      <c r="E54" s="148" t="s">
        <v>434</v>
      </c>
      <c r="F54" s="28" t="s">
        <v>191</v>
      </c>
      <c r="G54" s="148" t="s">
        <v>265</v>
      </c>
      <c r="H54" s="28" t="s">
        <v>252</v>
      </c>
      <c r="J54" s="154">
        <f t="shared" si="4"/>
        <v>0.24166666666666617</v>
      </c>
      <c r="K54" s="155">
        <f t="shared" si="8"/>
        <v>64.283333333334511</v>
      </c>
      <c r="L54" s="154">
        <f t="shared" si="7"/>
        <v>0.54166666666666519</v>
      </c>
      <c r="M54" s="155">
        <f t="shared" si="9"/>
        <v>144.08333333333479</v>
      </c>
      <c r="N54" s="154">
        <f t="shared" si="11"/>
        <v>0.84166666666666412</v>
      </c>
      <c r="O54" s="155">
        <f t="shared" si="10"/>
        <v>223.88333333333384</v>
      </c>
    </row>
    <row r="55" spans="1:15">
      <c r="A55" s="146">
        <f t="shared" si="1"/>
        <v>0.84722222222222165</v>
      </c>
      <c r="B55" s="148" t="s">
        <v>124</v>
      </c>
      <c r="C55" s="28" t="s">
        <v>113</v>
      </c>
      <c r="D55" s="148" t="s">
        <v>102</v>
      </c>
      <c r="E55" s="148" t="s">
        <v>202</v>
      </c>
      <c r="F55" s="28" t="s">
        <v>190</v>
      </c>
      <c r="G55" s="148" t="s">
        <v>478</v>
      </c>
      <c r="H55" s="28" t="s">
        <v>251</v>
      </c>
      <c r="J55" s="154">
        <f t="shared" si="4"/>
        <v>0.24444444444444394</v>
      </c>
      <c r="K55" s="155">
        <f t="shared" si="8"/>
        <v>65.022222222223405</v>
      </c>
      <c r="L55" s="154">
        <f t="shared" si="7"/>
        <v>0.54444444444444295</v>
      </c>
      <c r="M55" s="155">
        <f t="shared" si="9"/>
        <v>144.82222222222367</v>
      </c>
      <c r="N55" s="154">
        <f t="shared" si="11"/>
        <v>0.84444444444444189</v>
      </c>
      <c r="O55" s="155">
        <f t="shared" si="10"/>
        <v>224.62222222222272</v>
      </c>
    </row>
    <row r="56" spans="1:15">
      <c r="A56" s="146">
        <f t="shared" si="1"/>
        <v>0.84999999999999942</v>
      </c>
      <c r="B56" s="148" t="s">
        <v>178</v>
      </c>
      <c r="C56" s="28" t="s">
        <v>112</v>
      </c>
      <c r="D56" s="148" t="s">
        <v>290</v>
      </c>
      <c r="E56" s="148" t="s">
        <v>201</v>
      </c>
      <c r="F56" s="28" t="s">
        <v>189</v>
      </c>
      <c r="G56" s="148" t="s">
        <v>263</v>
      </c>
      <c r="H56" s="28" t="s">
        <v>250</v>
      </c>
      <c r="J56" s="154">
        <f t="shared" si="4"/>
        <v>0.2472222222222217</v>
      </c>
      <c r="K56" s="155">
        <f t="shared" si="8"/>
        <v>65.761111111112299</v>
      </c>
      <c r="L56" s="154">
        <f t="shared" si="7"/>
        <v>0.54722222222222072</v>
      </c>
      <c r="M56" s="155">
        <f t="shared" si="9"/>
        <v>145.56111111111255</v>
      </c>
      <c r="N56" s="154">
        <f t="shared" si="11"/>
        <v>0.84722222222221966</v>
      </c>
      <c r="O56" s="155">
        <f t="shared" si="10"/>
        <v>225.3611111111116</v>
      </c>
    </row>
    <row r="57" spans="1:15">
      <c r="A57" s="146">
        <f t="shared" si="1"/>
        <v>0.85277777777777719</v>
      </c>
      <c r="B57" s="148" t="s">
        <v>177</v>
      </c>
      <c r="C57" s="28" t="s">
        <v>111</v>
      </c>
      <c r="D57" s="148" t="s">
        <v>155</v>
      </c>
      <c r="E57" s="148" t="s">
        <v>200</v>
      </c>
      <c r="F57" s="28" t="s">
        <v>188</v>
      </c>
      <c r="G57" s="148" t="s">
        <v>262</v>
      </c>
      <c r="H57" s="28" t="s">
        <v>249</v>
      </c>
      <c r="J57" s="154">
        <f t="shared" si="4"/>
        <v>0.24999999999999947</v>
      </c>
      <c r="K57" s="155">
        <f t="shared" si="8"/>
        <v>66.500000000001194</v>
      </c>
      <c r="L57" s="154">
        <f t="shared" si="7"/>
        <v>0.54999999999999849</v>
      </c>
      <c r="M57" s="155">
        <f t="shared" si="9"/>
        <v>146.30000000000143</v>
      </c>
      <c r="N57" s="154">
        <f t="shared" si="11"/>
        <v>0.84999999999999742</v>
      </c>
      <c r="O57" s="155">
        <f t="shared" si="10"/>
        <v>226.10000000000048</v>
      </c>
    </row>
    <row r="58" spans="1:15">
      <c r="A58" s="146">
        <f t="shared" si="1"/>
        <v>0.85555555555555496</v>
      </c>
      <c r="B58" s="148" t="s">
        <v>176</v>
      </c>
      <c r="C58" s="28" t="s">
        <v>110</v>
      </c>
      <c r="D58" s="148" t="s">
        <v>389</v>
      </c>
      <c r="E58" s="148" t="s">
        <v>199</v>
      </c>
      <c r="F58" s="28" t="s">
        <v>187</v>
      </c>
      <c r="G58" s="148" t="s">
        <v>261</v>
      </c>
      <c r="H58" s="28" t="s">
        <v>248</v>
      </c>
      <c r="J58" s="154">
        <f t="shared" si="4"/>
        <v>0.25277777777777727</v>
      </c>
      <c r="K58" s="155">
        <f t="shared" si="8"/>
        <v>67.238888888890088</v>
      </c>
      <c r="L58" s="154">
        <f t="shared" si="7"/>
        <v>0.55277777777777626</v>
      </c>
      <c r="M58" s="155">
        <f t="shared" si="9"/>
        <v>147.03888888889031</v>
      </c>
      <c r="N58" s="154">
        <f t="shared" si="11"/>
        <v>0.85277777777777519</v>
      </c>
      <c r="O58" s="155">
        <f t="shared" si="10"/>
        <v>226.83888888888936</v>
      </c>
    </row>
    <row r="59" spans="1:15">
      <c r="A59" s="146">
        <f t="shared" si="1"/>
        <v>0.85833333333333273</v>
      </c>
      <c r="B59" s="148" t="s">
        <v>175</v>
      </c>
      <c r="C59" s="28" t="s">
        <v>109</v>
      </c>
      <c r="D59" s="148" t="s">
        <v>388</v>
      </c>
      <c r="E59" s="148" t="s">
        <v>198</v>
      </c>
      <c r="F59" s="28" t="s">
        <v>186</v>
      </c>
      <c r="G59" s="148" t="s">
        <v>260</v>
      </c>
      <c r="H59" s="28" t="s">
        <v>247</v>
      </c>
      <c r="J59" s="154">
        <f t="shared" si="4"/>
        <v>0.25555555555555504</v>
      </c>
      <c r="K59" s="155">
        <f t="shared" si="8"/>
        <v>67.977777777778982</v>
      </c>
      <c r="L59" s="154">
        <f t="shared" si="7"/>
        <v>0.55555555555555403</v>
      </c>
      <c r="M59" s="155">
        <f t="shared" si="9"/>
        <v>147.77777777777919</v>
      </c>
      <c r="N59" s="154">
        <f t="shared" si="11"/>
        <v>0.85555555555555296</v>
      </c>
      <c r="O59" s="155">
        <f t="shared" si="10"/>
        <v>227.57777777777824</v>
      </c>
    </row>
    <row r="60" spans="1:15">
      <c r="A60" s="146">
        <f t="shared" si="1"/>
        <v>0.86111111111111049</v>
      </c>
      <c r="B60" s="148" t="s">
        <v>309</v>
      </c>
      <c r="C60" s="28" t="s">
        <v>108</v>
      </c>
      <c r="D60" s="148" t="s">
        <v>387</v>
      </c>
      <c r="E60" s="148" t="s">
        <v>433</v>
      </c>
      <c r="F60" s="28" t="s">
        <v>185</v>
      </c>
      <c r="G60" s="148" t="s">
        <v>477</v>
      </c>
      <c r="H60" s="28" t="s">
        <v>246</v>
      </c>
      <c r="J60" s="154">
        <f t="shared" si="4"/>
        <v>0.2583333333333328</v>
      </c>
      <c r="K60" s="155">
        <f t="shared" si="8"/>
        <v>68.716666666667876</v>
      </c>
      <c r="L60" s="154">
        <f t="shared" si="7"/>
        <v>0.55833333333333179</v>
      </c>
      <c r="M60" s="155">
        <f t="shared" si="9"/>
        <v>148.51666666666807</v>
      </c>
      <c r="N60" s="154">
        <f t="shared" si="11"/>
        <v>0.85833333333333073</v>
      </c>
      <c r="O60" s="155">
        <f t="shared" si="10"/>
        <v>228.31666666666712</v>
      </c>
    </row>
    <row r="61" spans="1:15">
      <c r="A61" s="146">
        <f t="shared" si="1"/>
        <v>0.86388888888888826</v>
      </c>
      <c r="B61" s="148" t="s">
        <v>308</v>
      </c>
      <c r="C61" s="28" t="s">
        <v>107</v>
      </c>
      <c r="D61" s="148" t="s">
        <v>386</v>
      </c>
      <c r="E61" s="148" t="s">
        <v>432</v>
      </c>
      <c r="F61" s="28" t="s">
        <v>184</v>
      </c>
      <c r="G61" s="148" t="s">
        <v>476</v>
      </c>
      <c r="H61" s="28" t="s">
        <v>245</v>
      </c>
      <c r="J61" s="154">
        <f t="shared" si="4"/>
        <v>0.26111111111111057</v>
      </c>
      <c r="K61" s="155">
        <f t="shared" si="8"/>
        <v>69.455555555556771</v>
      </c>
      <c r="L61" s="154">
        <f t="shared" si="7"/>
        <v>0.56111111111110956</v>
      </c>
      <c r="M61" s="155">
        <f t="shared" si="9"/>
        <v>149.25555555555695</v>
      </c>
      <c r="N61" s="154">
        <f t="shared" si="11"/>
        <v>0.8611111111111085</v>
      </c>
      <c r="O61" s="155">
        <f t="shared" si="10"/>
        <v>229.055555555556</v>
      </c>
    </row>
    <row r="62" spans="1:15">
      <c r="A62" s="146">
        <f t="shared" si="1"/>
        <v>0.86666666666666603</v>
      </c>
      <c r="B62" s="148" t="s">
        <v>307</v>
      </c>
      <c r="C62" s="28" t="s">
        <v>106</v>
      </c>
      <c r="D62" s="148" t="s">
        <v>385</v>
      </c>
      <c r="E62" s="148" t="s">
        <v>431</v>
      </c>
      <c r="F62" s="28" t="s">
        <v>183</v>
      </c>
      <c r="G62" s="148" t="s">
        <v>475</v>
      </c>
      <c r="H62" s="28" t="s">
        <v>244</v>
      </c>
      <c r="J62" s="154">
        <f t="shared" si="4"/>
        <v>0.26388888888888834</v>
      </c>
      <c r="K62" s="155">
        <f t="shared" si="8"/>
        <v>70.194444444445665</v>
      </c>
      <c r="L62" s="154">
        <f t="shared" si="7"/>
        <v>0.56388888888888733</v>
      </c>
      <c r="M62" s="155">
        <f t="shared" si="9"/>
        <v>149.99444444444583</v>
      </c>
      <c r="N62" s="154">
        <f t="shared" si="11"/>
        <v>0.86388888888888626</v>
      </c>
      <c r="O62" s="155">
        <f t="shared" si="10"/>
        <v>229.79444444444488</v>
      </c>
    </row>
    <row r="63" spans="1:15">
      <c r="A63" s="146">
        <f t="shared" si="1"/>
        <v>0.8694444444444438</v>
      </c>
      <c r="B63" s="148" t="s">
        <v>306</v>
      </c>
      <c r="C63" s="28" t="s">
        <v>105</v>
      </c>
      <c r="D63" s="148" t="s">
        <v>384</v>
      </c>
      <c r="E63" s="148" t="s">
        <v>430</v>
      </c>
      <c r="F63" s="28" t="s">
        <v>182</v>
      </c>
      <c r="G63" s="148" t="s">
        <v>334</v>
      </c>
      <c r="H63" s="28" t="s">
        <v>243</v>
      </c>
      <c r="J63" s="154">
        <f t="shared" si="4"/>
        <v>0.26666666666666611</v>
      </c>
      <c r="K63" s="155">
        <f t="shared" si="8"/>
        <v>70.933333333334559</v>
      </c>
      <c r="L63" s="154">
        <f t="shared" si="7"/>
        <v>0.5666666666666651</v>
      </c>
      <c r="M63" s="155">
        <f t="shared" si="9"/>
        <v>150.73333333333471</v>
      </c>
      <c r="N63" s="154">
        <f t="shared" si="11"/>
        <v>0.86666666666666403</v>
      </c>
      <c r="O63" s="155">
        <f t="shared" si="10"/>
        <v>230.53333333333376</v>
      </c>
    </row>
    <row r="64" spans="1:15">
      <c r="A64" s="146">
        <f t="shared" si="1"/>
        <v>0.87222222222222157</v>
      </c>
      <c r="B64" s="148" t="s">
        <v>305</v>
      </c>
      <c r="C64" s="28" t="s">
        <v>104</v>
      </c>
      <c r="D64" s="148" t="s">
        <v>383</v>
      </c>
      <c r="E64" s="148" t="s">
        <v>429</v>
      </c>
      <c r="F64" s="28" t="s">
        <v>181</v>
      </c>
      <c r="G64" s="148" t="s">
        <v>474</v>
      </c>
      <c r="H64" s="28" t="s">
        <v>242</v>
      </c>
      <c r="J64" s="154">
        <f t="shared" si="4"/>
        <v>0.26944444444444388</v>
      </c>
      <c r="K64" s="155">
        <f t="shared" si="8"/>
        <v>71.672222222223454</v>
      </c>
      <c r="L64" s="154">
        <f t="shared" si="7"/>
        <v>0.56944444444444287</v>
      </c>
      <c r="M64" s="155">
        <f t="shared" si="9"/>
        <v>151.47222222222359</v>
      </c>
      <c r="N64" s="154">
        <f t="shared" si="11"/>
        <v>0.8694444444444418</v>
      </c>
      <c r="O64" s="155">
        <f t="shared" si="10"/>
        <v>231.27222222222264</v>
      </c>
    </row>
    <row r="65" spans="1:15">
      <c r="A65" s="146">
        <f t="shared" si="1"/>
        <v>0.87499999999999933</v>
      </c>
      <c r="B65" s="148" t="s">
        <v>304</v>
      </c>
      <c r="C65" s="28" t="s">
        <v>103</v>
      </c>
      <c r="D65" s="148" t="s">
        <v>149</v>
      </c>
      <c r="E65" s="148" t="s">
        <v>428</v>
      </c>
      <c r="F65" s="28" t="s">
        <v>180</v>
      </c>
      <c r="G65" s="148" t="s">
        <v>473</v>
      </c>
      <c r="H65" s="28" t="s">
        <v>241</v>
      </c>
      <c r="J65" s="154">
        <f t="shared" si="4"/>
        <v>0.27222222222222164</v>
      </c>
      <c r="K65" s="155">
        <f t="shared" si="8"/>
        <v>72.411111111112348</v>
      </c>
      <c r="L65" s="154">
        <f t="shared" si="7"/>
        <v>0.57222222222222063</v>
      </c>
      <c r="M65" s="155">
        <f t="shared" si="9"/>
        <v>152.21111111111247</v>
      </c>
      <c r="N65" s="154">
        <f t="shared" si="11"/>
        <v>0.87222222222221957</v>
      </c>
      <c r="O65" s="155">
        <f t="shared" si="10"/>
        <v>232.01111111111152</v>
      </c>
    </row>
    <row r="66" spans="1:15">
      <c r="A66" s="146">
        <f t="shared" si="1"/>
        <v>0.8777777777777771</v>
      </c>
      <c r="B66" s="148" t="s">
        <v>303</v>
      </c>
      <c r="C66" s="28" t="s">
        <v>102</v>
      </c>
      <c r="D66" s="148" t="s">
        <v>148</v>
      </c>
      <c r="E66" s="148" t="s">
        <v>427</v>
      </c>
      <c r="F66" s="28" t="s">
        <v>179</v>
      </c>
      <c r="G66" s="148" t="s">
        <v>472</v>
      </c>
      <c r="H66" s="28" t="s">
        <v>240</v>
      </c>
      <c r="J66" s="154">
        <f t="shared" si="4"/>
        <v>0.27499999999999941</v>
      </c>
      <c r="K66" s="155">
        <f t="shared" si="8"/>
        <v>73.150000000001242</v>
      </c>
      <c r="L66" s="154">
        <f t="shared" si="7"/>
        <v>0.5749999999999984</v>
      </c>
      <c r="M66" s="155">
        <f t="shared" si="9"/>
        <v>152.95000000000135</v>
      </c>
      <c r="N66" s="154">
        <f t="shared" si="11"/>
        <v>0.87499999999999734</v>
      </c>
      <c r="O66" s="155">
        <f t="shared" si="10"/>
        <v>232.7500000000004</v>
      </c>
    </row>
    <row r="67" spans="1:15">
      <c r="A67" s="146">
        <f t="shared" si="1"/>
        <v>0.88055555555555487</v>
      </c>
      <c r="B67" s="148" t="s">
        <v>302</v>
      </c>
      <c r="C67" s="28" t="s">
        <v>101</v>
      </c>
      <c r="D67" s="148" t="s">
        <v>382</v>
      </c>
      <c r="E67" s="148" t="s">
        <v>426</v>
      </c>
      <c r="F67" s="28" t="s">
        <v>124</v>
      </c>
      <c r="G67" s="148" t="s">
        <v>471</v>
      </c>
      <c r="H67" s="28" t="s">
        <v>239</v>
      </c>
      <c r="J67" s="154">
        <f t="shared" si="4"/>
        <v>0.27777777777777718</v>
      </c>
      <c r="K67" s="155">
        <f t="shared" ref="K67:K98" si="12">K68-(O$111*0.2/72)</f>
        <v>73.888888888890136</v>
      </c>
      <c r="L67" s="154">
        <f t="shared" si="7"/>
        <v>0.57777777777777617</v>
      </c>
      <c r="M67" s="155">
        <f t="shared" si="9"/>
        <v>153.68888888889023</v>
      </c>
      <c r="N67" s="154">
        <f t="shared" si="11"/>
        <v>0.8777777777777751</v>
      </c>
      <c r="O67" s="155">
        <f t="shared" si="10"/>
        <v>233.48888888888928</v>
      </c>
    </row>
    <row r="68" spans="1:15">
      <c r="A68" s="146">
        <f t="shared" ref="A68:A110" si="13">A67+0.00277777777777777</f>
        <v>0.88333333333333264</v>
      </c>
      <c r="B68" s="148" t="s">
        <v>301</v>
      </c>
      <c r="C68" s="28" t="s">
        <v>100</v>
      </c>
      <c r="D68" s="148" t="s">
        <v>381</v>
      </c>
      <c r="E68" s="148" t="s">
        <v>425</v>
      </c>
      <c r="F68" s="28" t="s">
        <v>178</v>
      </c>
      <c r="G68" s="148" t="s">
        <v>470</v>
      </c>
      <c r="H68" s="28" t="s">
        <v>238</v>
      </c>
      <c r="J68" s="154">
        <f t="shared" si="4"/>
        <v>0.28055555555555495</v>
      </c>
      <c r="K68" s="155">
        <f t="shared" si="12"/>
        <v>74.627777777779031</v>
      </c>
      <c r="L68" s="154">
        <f t="shared" si="7"/>
        <v>0.58055555555555394</v>
      </c>
      <c r="M68" s="155">
        <f t="shared" ref="M68:M99" si="14">M69-(O$111*0.2/72)</f>
        <v>154.42777777777911</v>
      </c>
      <c r="N68" s="154">
        <f t="shared" si="11"/>
        <v>0.88055555555555287</v>
      </c>
      <c r="O68" s="155">
        <f t="shared" ref="O68:O99" si="15">O69-(O$111*0.2/72)</f>
        <v>234.22777777777816</v>
      </c>
    </row>
    <row r="69" spans="1:15">
      <c r="A69" s="146">
        <f t="shared" si="13"/>
        <v>0.88611111111111041</v>
      </c>
      <c r="B69" s="148" t="s">
        <v>300</v>
      </c>
      <c r="C69" s="28" t="s">
        <v>99</v>
      </c>
      <c r="D69" s="148" t="s">
        <v>282</v>
      </c>
      <c r="E69" s="148" t="s">
        <v>315</v>
      </c>
      <c r="F69" s="28" t="s">
        <v>177</v>
      </c>
      <c r="G69" s="148" t="s">
        <v>469</v>
      </c>
      <c r="H69" s="28" t="s">
        <v>201</v>
      </c>
      <c r="J69" s="154">
        <f t="shared" ref="J69:J111" si="16">J68+0.00277777777777777</f>
        <v>0.28333333333333272</v>
      </c>
      <c r="K69" s="155">
        <f t="shared" si="12"/>
        <v>75.366666666667925</v>
      </c>
      <c r="L69" s="154">
        <f t="shared" si="7"/>
        <v>0.58333333333333171</v>
      </c>
      <c r="M69" s="155">
        <f t="shared" si="14"/>
        <v>155.16666666666799</v>
      </c>
      <c r="N69" s="154">
        <f t="shared" si="11"/>
        <v>0.88333333333333064</v>
      </c>
      <c r="O69" s="155">
        <f t="shared" si="15"/>
        <v>234.96666666666704</v>
      </c>
    </row>
    <row r="70" spans="1:15">
      <c r="A70" s="146">
        <f t="shared" si="13"/>
        <v>0.88888888888888817</v>
      </c>
      <c r="B70" s="148" t="s">
        <v>299</v>
      </c>
      <c r="C70" s="28" t="s">
        <v>98</v>
      </c>
      <c r="D70" s="148" t="s">
        <v>281</v>
      </c>
      <c r="E70" s="148" t="s">
        <v>314</v>
      </c>
      <c r="F70" s="28" t="s">
        <v>176</v>
      </c>
      <c r="G70" s="148" t="s">
        <v>444</v>
      </c>
      <c r="H70" s="28" t="s">
        <v>200</v>
      </c>
      <c r="J70" s="154">
        <f t="shared" si="16"/>
        <v>0.28611111111111048</v>
      </c>
      <c r="K70" s="155">
        <f t="shared" si="12"/>
        <v>76.105555555556819</v>
      </c>
      <c r="L70" s="154">
        <f t="shared" si="7"/>
        <v>0.58611111111110947</v>
      </c>
      <c r="M70" s="155">
        <f t="shared" si="14"/>
        <v>155.90555555555687</v>
      </c>
      <c r="N70" s="154">
        <f t="shared" si="11"/>
        <v>0.88611111111110841</v>
      </c>
      <c r="O70" s="155">
        <f t="shared" si="15"/>
        <v>235.70555555555592</v>
      </c>
    </row>
    <row r="71" spans="1:15">
      <c r="A71" s="146">
        <f t="shared" si="13"/>
        <v>0.89166666666666594</v>
      </c>
      <c r="B71" s="148" t="s">
        <v>298</v>
      </c>
      <c r="C71" s="28" t="s">
        <v>97</v>
      </c>
      <c r="D71" s="148" t="s">
        <v>380</v>
      </c>
      <c r="E71" s="148" t="s">
        <v>424</v>
      </c>
      <c r="F71" s="28" t="s">
        <v>175</v>
      </c>
      <c r="G71" s="148" t="s">
        <v>468</v>
      </c>
      <c r="H71" s="28" t="s">
        <v>237</v>
      </c>
      <c r="J71" s="154">
        <f t="shared" si="16"/>
        <v>0.28888888888888825</v>
      </c>
      <c r="K71" s="155">
        <f t="shared" si="12"/>
        <v>76.844444444445713</v>
      </c>
      <c r="L71" s="154">
        <f t="shared" si="7"/>
        <v>0.58888888888888724</v>
      </c>
      <c r="M71" s="155">
        <f t="shared" si="14"/>
        <v>156.64444444444575</v>
      </c>
      <c r="N71" s="154">
        <f t="shared" si="11"/>
        <v>0.88888888888888618</v>
      </c>
      <c r="O71" s="155">
        <f t="shared" si="15"/>
        <v>236.4444444444448</v>
      </c>
    </row>
    <row r="72" spans="1:15">
      <c r="A72" s="146">
        <f t="shared" si="13"/>
        <v>0.89444444444444371</v>
      </c>
      <c r="B72" s="148" t="s">
        <v>297</v>
      </c>
      <c r="C72" s="28" t="s">
        <v>96</v>
      </c>
      <c r="D72" s="148" t="s">
        <v>379</v>
      </c>
      <c r="E72" s="148" t="s">
        <v>423</v>
      </c>
      <c r="F72" s="28" t="s">
        <v>174</v>
      </c>
      <c r="G72" s="148" t="s">
        <v>467</v>
      </c>
      <c r="H72" s="28" t="s">
        <v>236</v>
      </c>
      <c r="J72" s="154">
        <f t="shared" si="16"/>
        <v>0.29166666666666602</v>
      </c>
      <c r="K72" s="155">
        <f t="shared" si="12"/>
        <v>77.583333333334608</v>
      </c>
      <c r="L72" s="154">
        <f t="shared" si="7"/>
        <v>0.59166666666666501</v>
      </c>
      <c r="M72" s="155">
        <f t="shared" si="14"/>
        <v>157.38333333333463</v>
      </c>
      <c r="N72" s="154">
        <f t="shared" si="11"/>
        <v>0.89166666666666394</v>
      </c>
      <c r="O72" s="155">
        <f t="shared" si="15"/>
        <v>237.18333333333368</v>
      </c>
    </row>
    <row r="73" spans="1:15">
      <c r="A73" s="146">
        <f t="shared" si="13"/>
        <v>0.89722222222222148</v>
      </c>
      <c r="B73" s="148" t="s">
        <v>296</v>
      </c>
      <c r="C73" s="28" t="s">
        <v>95</v>
      </c>
      <c r="D73" s="148" t="s">
        <v>378</v>
      </c>
      <c r="E73" s="148" t="s">
        <v>422</v>
      </c>
      <c r="F73" s="28" t="s">
        <v>173</v>
      </c>
      <c r="G73" s="148" t="s">
        <v>466</v>
      </c>
      <c r="H73" s="28" t="s">
        <v>235</v>
      </c>
      <c r="J73" s="154">
        <f t="shared" si="16"/>
        <v>0.29444444444444379</v>
      </c>
      <c r="K73" s="155">
        <f t="shared" si="12"/>
        <v>78.322222222223502</v>
      </c>
      <c r="L73" s="154">
        <f t="shared" si="7"/>
        <v>0.59444444444444278</v>
      </c>
      <c r="M73" s="155">
        <f t="shared" si="14"/>
        <v>158.12222222222351</v>
      </c>
      <c r="N73" s="154">
        <f t="shared" si="11"/>
        <v>0.89444444444444171</v>
      </c>
      <c r="O73" s="155">
        <f t="shared" si="15"/>
        <v>237.92222222222256</v>
      </c>
    </row>
    <row r="74" spans="1:15">
      <c r="A74" s="146">
        <f t="shared" si="13"/>
        <v>0.89999999999999925</v>
      </c>
      <c r="B74" s="148" t="s">
        <v>295</v>
      </c>
      <c r="C74" s="28" t="s">
        <v>94</v>
      </c>
      <c r="D74" s="148" t="s">
        <v>377</v>
      </c>
      <c r="E74" s="148" t="s">
        <v>421</v>
      </c>
      <c r="F74" s="28" t="s">
        <v>172</v>
      </c>
      <c r="G74" s="148" t="s">
        <v>465</v>
      </c>
      <c r="H74" s="28" t="s">
        <v>234</v>
      </c>
      <c r="J74" s="154">
        <f t="shared" si="16"/>
        <v>0.29722222222222155</v>
      </c>
      <c r="K74" s="155">
        <f t="shared" si="12"/>
        <v>79.061111111112396</v>
      </c>
      <c r="L74" s="154">
        <f t="shared" si="7"/>
        <v>0.59722222222222054</v>
      </c>
      <c r="M74" s="155">
        <f t="shared" si="14"/>
        <v>158.86111111111239</v>
      </c>
      <c r="N74" s="154">
        <f t="shared" si="11"/>
        <v>0.89722222222221948</v>
      </c>
      <c r="O74" s="155">
        <f t="shared" si="15"/>
        <v>238.66111111111144</v>
      </c>
    </row>
    <row r="75" spans="1:15">
      <c r="A75" s="146">
        <f t="shared" si="13"/>
        <v>0.90277777777777701</v>
      </c>
      <c r="B75" s="148" t="s">
        <v>294</v>
      </c>
      <c r="C75" s="28" t="s">
        <v>93</v>
      </c>
      <c r="D75" s="148" t="s">
        <v>376</v>
      </c>
      <c r="E75" s="148" t="s">
        <v>420</v>
      </c>
      <c r="F75" s="28" t="s">
        <v>171</v>
      </c>
      <c r="G75" s="148" t="s">
        <v>464</v>
      </c>
      <c r="H75" s="28" t="s">
        <v>233</v>
      </c>
      <c r="J75" s="154">
        <f t="shared" si="16"/>
        <v>0.29999999999999932</v>
      </c>
      <c r="K75" s="155">
        <f t="shared" si="12"/>
        <v>79.80000000000129</v>
      </c>
      <c r="L75" s="154">
        <f t="shared" si="7"/>
        <v>0.59999999999999831</v>
      </c>
      <c r="M75" s="155">
        <f t="shared" si="14"/>
        <v>159.60000000000127</v>
      </c>
      <c r="N75" s="154">
        <f t="shared" si="11"/>
        <v>0.89999999999999725</v>
      </c>
      <c r="O75" s="155">
        <f t="shared" si="15"/>
        <v>239.40000000000032</v>
      </c>
    </row>
    <row r="76" spans="1:15">
      <c r="A76" s="146">
        <f t="shared" si="13"/>
        <v>0.90555555555555478</v>
      </c>
      <c r="B76" s="148" t="s">
        <v>293</v>
      </c>
      <c r="C76" s="28" t="s">
        <v>92</v>
      </c>
      <c r="D76" s="148" t="s">
        <v>375</v>
      </c>
      <c r="E76" s="148" t="s">
        <v>419</v>
      </c>
      <c r="F76" s="28" t="s">
        <v>170</v>
      </c>
      <c r="G76" s="148" t="s">
        <v>327</v>
      </c>
      <c r="H76" s="28" t="s">
        <v>232</v>
      </c>
      <c r="J76" s="154">
        <f t="shared" si="16"/>
        <v>0.30277777777777709</v>
      </c>
      <c r="K76" s="155">
        <f t="shared" si="12"/>
        <v>80.538888888890185</v>
      </c>
      <c r="L76" s="154">
        <f t="shared" si="7"/>
        <v>0.60277777777777608</v>
      </c>
      <c r="M76" s="155">
        <f t="shared" si="14"/>
        <v>160.33888888889015</v>
      </c>
      <c r="N76" s="154">
        <f t="shared" si="11"/>
        <v>0.90277777777777501</v>
      </c>
      <c r="O76" s="155">
        <f t="shared" si="15"/>
        <v>240.1388888888892</v>
      </c>
    </row>
    <row r="77" spans="1:15">
      <c r="A77" s="146">
        <f t="shared" si="13"/>
        <v>0.90833333333333255</v>
      </c>
      <c r="B77" s="148" t="s">
        <v>292</v>
      </c>
      <c r="C77" s="28" t="s">
        <v>91</v>
      </c>
      <c r="D77" s="148" t="s">
        <v>374</v>
      </c>
      <c r="E77" s="148" t="s">
        <v>221</v>
      </c>
      <c r="F77" s="28" t="s">
        <v>169</v>
      </c>
      <c r="G77" s="148" t="s">
        <v>463</v>
      </c>
      <c r="H77" s="28" t="s">
        <v>231</v>
      </c>
      <c r="J77" s="154">
        <f t="shared" si="16"/>
        <v>0.30555555555555486</v>
      </c>
      <c r="K77" s="155">
        <f t="shared" si="12"/>
        <v>81.277777777779079</v>
      </c>
      <c r="L77" s="154">
        <f t="shared" si="7"/>
        <v>0.60555555555555385</v>
      </c>
      <c r="M77" s="155">
        <f t="shared" si="14"/>
        <v>161.07777777777903</v>
      </c>
      <c r="N77" s="154">
        <f t="shared" si="11"/>
        <v>0.90555555555555278</v>
      </c>
      <c r="O77" s="155">
        <f t="shared" si="15"/>
        <v>240.87777777777808</v>
      </c>
    </row>
    <row r="78" spans="1:15">
      <c r="A78" s="146">
        <f t="shared" si="13"/>
        <v>0.91111111111111032</v>
      </c>
      <c r="B78" s="148" t="s">
        <v>291</v>
      </c>
      <c r="C78" s="28" t="s">
        <v>90</v>
      </c>
      <c r="D78" s="148" t="s">
        <v>373</v>
      </c>
      <c r="E78" s="148" t="s">
        <v>418</v>
      </c>
      <c r="F78" s="28" t="s">
        <v>168</v>
      </c>
      <c r="G78" s="148" t="s">
        <v>462</v>
      </c>
      <c r="H78" s="28" t="s">
        <v>230</v>
      </c>
      <c r="J78" s="154">
        <f t="shared" si="16"/>
        <v>0.30833333333333263</v>
      </c>
      <c r="K78" s="155">
        <f t="shared" si="12"/>
        <v>82.016666666667973</v>
      </c>
      <c r="L78" s="154">
        <f t="shared" si="7"/>
        <v>0.60833333333333162</v>
      </c>
      <c r="M78" s="155">
        <f t="shared" si="14"/>
        <v>161.81666666666791</v>
      </c>
      <c r="N78" s="154">
        <f t="shared" si="11"/>
        <v>0.90833333333333055</v>
      </c>
      <c r="O78" s="155">
        <f t="shared" si="15"/>
        <v>241.61666666666696</v>
      </c>
    </row>
    <row r="79" spans="1:15">
      <c r="A79" s="146">
        <f t="shared" si="13"/>
        <v>0.91388888888888808</v>
      </c>
      <c r="B79" s="148" t="s">
        <v>290</v>
      </c>
      <c r="C79" s="28" t="s">
        <v>89</v>
      </c>
      <c r="D79" s="148" t="s">
        <v>77</v>
      </c>
      <c r="E79" s="148" t="s">
        <v>417</v>
      </c>
      <c r="F79" s="28" t="s">
        <v>167</v>
      </c>
      <c r="G79" s="148" t="s">
        <v>241</v>
      </c>
      <c r="H79" s="28" t="s">
        <v>229</v>
      </c>
      <c r="J79" s="154">
        <f t="shared" si="16"/>
        <v>0.31111111111111039</v>
      </c>
      <c r="K79" s="155">
        <f t="shared" si="12"/>
        <v>82.755555555556867</v>
      </c>
      <c r="L79" s="154">
        <f t="shared" si="7"/>
        <v>0.61111111111110938</v>
      </c>
      <c r="M79" s="155">
        <f t="shared" si="14"/>
        <v>162.55555555555679</v>
      </c>
      <c r="N79" s="154">
        <f t="shared" si="11"/>
        <v>0.91111111111110832</v>
      </c>
      <c r="O79" s="155">
        <f t="shared" si="15"/>
        <v>242.35555555555584</v>
      </c>
    </row>
    <row r="80" spans="1:15">
      <c r="A80" s="146">
        <f t="shared" si="13"/>
        <v>0.91666666666666585</v>
      </c>
      <c r="B80" s="148" t="s">
        <v>100</v>
      </c>
      <c r="C80" s="28" t="s">
        <v>88</v>
      </c>
      <c r="D80" s="148" t="s">
        <v>76</v>
      </c>
      <c r="E80" s="148" t="s">
        <v>218</v>
      </c>
      <c r="F80" s="28" t="s">
        <v>166</v>
      </c>
      <c r="G80" s="148" t="s">
        <v>240</v>
      </c>
      <c r="H80" s="28" t="s">
        <v>228</v>
      </c>
      <c r="J80" s="154">
        <f t="shared" si="16"/>
        <v>0.31388888888888816</v>
      </c>
      <c r="K80" s="155">
        <f t="shared" si="12"/>
        <v>83.494444444445762</v>
      </c>
      <c r="L80" s="154">
        <f t="shared" si="7"/>
        <v>0.61388888888888715</v>
      </c>
      <c r="M80" s="155">
        <f t="shared" si="14"/>
        <v>163.29444444444567</v>
      </c>
      <c r="N80" s="154">
        <f t="shared" si="11"/>
        <v>0.91388888888888609</v>
      </c>
      <c r="O80" s="155">
        <f t="shared" si="15"/>
        <v>243.09444444444472</v>
      </c>
    </row>
    <row r="81" spans="1:15">
      <c r="A81" s="146">
        <f t="shared" si="13"/>
        <v>0.91944444444444362</v>
      </c>
      <c r="B81" s="148" t="s">
        <v>99</v>
      </c>
      <c r="C81" s="28" t="s">
        <v>87</v>
      </c>
      <c r="D81" s="148" t="s">
        <v>75</v>
      </c>
      <c r="E81" s="148" t="s">
        <v>123</v>
      </c>
      <c r="F81" s="28" t="s">
        <v>111</v>
      </c>
      <c r="G81" s="148" t="s">
        <v>239</v>
      </c>
      <c r="H81" s="28" t="s">
        <v>227</v>
      </c>
      <c r="J81" s="154">
        <f t="shared" si="16"/>
        <v>0.31666666666666593</v>
      </c>
      <c r="K81" s="155">
        <f t="shared" si="12"/>
        <v>84.233333333334656</v>
      </c>
      <c r="L81" s="154">
        <f t="shared" si="7"/>
        <v>0.61666666666666492</v>
      </c>
      <c r="M81" s="155">
        <f t="shared" si="14"/>
        <v>164.03333333333455</v>
      </c>
      <c r="N81" s="154">
        <f t="shared" si="11"/>
        <v>0.91666666666666385</v>
      </c>
      <c r="O81" s="155">
        <f t="shared" si="15"/>
        <v>243.8333333333336</v>
      </c>
    </row>
    <row r="82" spans="1:15">
      <c r="A82" s="146">
        <f t="shared" si="13"/>
        <v>0.92222222222222139</v>
      </c>
      <c r="B82" s="148" t="s">
        <v>98</v>
      </c>
      <c r="C82" s="28" t="s">
        <v>86</v>
      </c>
      <c r="D82" s="148" t="s">
        <v>269</v>
      </c>
      <c r="E82" s="148" t="s">
        <v>122</v>
      </c>
      <c r="F82" s="28" t="s">
        <v>110</v>
      </c>
      <c r="G82" s="148" t="s">
        <v>202</v>
      </c>
      <c r="H82" s="28" t="s">
        <v>189</v>
      </c>
      <c r="J82" s="154">
        <f t="shared" si="16"/>
        <v>0.3194444444444437</v>
      </c>
      <c r="K82" s="155">
        <f t="shared" si="12"/>
        <v>84.97222222222355</v>
      </c>
      <c r="L82" s="154">
        <f t="shared" si="7"/>
        <v>0.61944444444444269</v>
      </c>
      <c r="M82" s="155">
        <f t="shared" si="14"/>
        <v>164.77222222222343</v>
      </c>
      <c r="N82" s="154">
        <f t="shared" si="11"/>
        <v>0.91944444444444162</v>
      </c>
      <c r="O82" s="155">
        <f t="shared" si="15"/>
        <v>244.57222222222248</v>
      </c>
    </row>
    <row r="83" spans="1:15">
      <c r="A83" s="146">
        <f t="shared" si="13"/>
        <v>0.92499999999999916</v>
      </c>
      <c r="B83" s="148" t="s">
        <v>97</v>
      </c>
      <c r="C83" s="28" t="s">
        <v>85</v>
      </c>
      <c r="D83" s="148" t="s">
        <v>372</v>
      </c>
      <c r="E83" s="148" t="s">
        <v>176</v>
      </c>
      <c r="F83" s="28" t="s">
        <v>165</v>
      </c>
      <c r="G83" s="148" t="s">
        <v>201</v>
      </c>
      <c r="H83" s="28" t="s">
        <v>188</v>
      </c>
      <c r="J83" s="154">
        <f t="shared" si="16"/>
        <v>0.32222222222222147</v>
      </c>
      <c r="K83" s="155">
        <f t="shared" si="12"/>
        <v>85.711111111112444</v>
      </c>
      <c r="L83" s="154">
        <f t="shared" si="7"/>
        <v>0.62222222222222046</v>
      </c>
      <c r="M83" s="155">
        <f t="shared" si="14"/>
        <v>165.51111111111231</v>
      </c>
      <c r="N83" s="154">
        <f t="shared" si="11"/>
        <v>0.92222222222221939</v>
      </c>
      <c r="O83" s="155">
        <f t="shared" si="15"/>
        <v>245.31111111111136</v>
      </c>
    </row>
    <row r="84" spans="1:15">
      <c r="A84" s="146">
        <f>A83+0.00277777777777777</f>
        <v>0.92777777777777692</v>
      </c>
      <c r="B84" s="148" t="s">
        <v>154</v>
      </c>
      <c r="C84" s="28" t="s">
        <v>84</v>
      </c>
      <c r="D84" s="148" t="s">
        <v>72</v>
      </c>
      <c r="E84" s="148" t="s">
        <v>416</v>
      </c>
      <c r="F84" s="28" t="s">
        <v>164</v>
      </c>
      <c r="G84" s="148" t="s">
        <v>461</v>
      </c>
      <c r="H84" s="28" t="s">
        <v>187</v>
      </c>
      <c r="J84" s="154">
        <f t="shared" si="16"/>
        <v>0.32499999999999923</v>
      </c>
      <c r="K84" s="155">
        <f t="shared" si="12"/>
        <v>86.450000000001339</v>
      </c>
      <c r="L84" s="154">
        <f t="shared" si="7"/>
        <v>0.62499999999999822</v>
      </c>
      <c r="M84" s="155">
        <f t="shared" si="14"/>
        <v>166.25000000000119</v>
      </c>
      <c r="N84" s="154">
        <f t="shared" si="11"/>
        <v>0.92499999999999716</v>
      </c>
      <c r="O84" s="155">
        <f t="shared" si="15"/>
        <v>246.05000000000024</v>
      </c>
    </row>
    <row r="85" spans="1:15">
      <c r="A85" s="146">
        <f t="shared" si="13"/>
        <v>0.93055555555555469</v>
      </c>
      <c r="B85" s="148" t="s">
        <v>153</v>
      </c>
      <c r="C85" s="28" t="s">
        <v>83</v>
      </c>
      <c r="D85" s="148" t="s">
        <v>371</v>
      </c>
      <c r="E85" s="148" t="s">
        <v>415</v>
      </c>
      <c r="F85" s="28" t="s">
        <v>163</v>
      </c>
      <c r="G85" s="148" t="s">
        <v>460</v>
      </c>
      <c r="H85" s="28" t="s">
        <v>226</v>
      </c>
      <c r="J85" s="154">
        <f t="shared" si="16"/>
        <v>0.327777777777777</v>
      </c>
      <c r="K85" s="155">
        <f t="shared" si="12"/>
        <v>87.188888888890233</v>
      </c>
      <c r="L85" s="154">
        <f t="shared" si="7"/>
        <v>0.62777777777777599</v>
      </c>
      <c r="M85" s="155">
        <f t="shared" si="14"/>
        <v>166.98888888889007</v>
      </c>
      <c r="N85" s="154">
        <f t="shared" si="11"/>
        <v>0.92777777777777493</v>
      </c>
      <c r="O85" s="155">
        <f t="shared" si="15"/>
        <v>246.78888888888912</v>
      </c>
    </row>
    <row r="86" spans="1:15">
      <c r="A86" s="146">
        <f t="shared" si="13"/>
        <v>0.93333333333333246</v>
      </c>
      <c r="B86" s="148" t="s">
        <v>289</v>
      </c>
      <c r="C86" s="28" t="s">
        <v>82</v>
      </c>
      <c r="D86" s="148" t="s">
        <v>370</v>
      </c>
      <c r="E86" s="148" t="s">
        <v>399</v>
      </c>
      <c r="F86" s="28" t="s">
        <v>162</v>
      </c>
      <c r="G86" s="148" t="s">
        <v>459</v>
      </c>
      <c r="H86" s="28" t="s">
        <v>225</v>
      </c>
      <c r="J86" s="154">
        <f t="shared" si="16"/>
        <v>0.33055555555555477</v>
      </c>
      <c r="K86" s="155">
        <f t="shared" si="12"/>
        <v>87.927777777779127</v>
      </c>
      <c r="L86" s="154">
        <f t="shared" si="7"/>
        <v>0.63055555555555376</v>
      </c>
      <c r="M86" s="155">
        <f t="shared" si="14"/>
        <v>167.72777777777895</v>
      </c>
      <c r="N86" s="154">
        <f t="shared" si="11"/>
        <v>0.93055555555555269</v>
      </c>
      <c r="O86" s="155">
        <f t="shared" si="15"/>
        <v>247.527777777778</v>
      </c>
    </row>
    <row r="87" spans="1:15">
      <c r="A87" s="146">
        <f t="shared" si="13"/>
        <v>0.93611111111111023</v>
      </c>
      <c r="B87" s="148" t="s">
        <v>288</v>
      </c>
      <c r="C87" s="28" t="s">
        <v>81</v>
      </c>
      <c r="D87" s="148" t="s">
        <v>369</v>
      </c>
      <c r="E87" s="148" t="s">
        <v>414</v>
      </c>
      <c r="F87" s="28" t="s">
        <v>161</v>
      </c>
      <c r="G87" s="148" t="s">
        <v>458</v>
      </c>
      <c r="H87" s="28" t="s">
        <v>224</v>
      </c>
      <c r="J87" s="154">
        <f t="shared" si="16"/>
        <v>0.33333333333333254</v>
      </c>
      <c r="K87" s="155">
        <f t="shared" si="12"/>
        <v>88.666666666668021</v>
      </c>
      <c r="L87" s="154">
        <f t="shared" si="7"/>
        <v>0.63333333333333153</v>
      </c>
      <c r="M87" s="155">
        <f t="shared" si="14"/>
        <v>168.46666666666783</v>
      </c>
      <c r="N87" s="154">
        <f t="shared" si="11"/>
        <v>0.93333333333333046</v>
      </c>
      <c r="O87" s="155">
        <f t="shared" si="15"/>
        <v>248.26666666666688</v>
      </c>
    </row>
    <row r="88" spans="1:15">
      <c r="A88" s="146">
        <f t="shared" si="13"/>
        <v>0.938888888888888</v>
      </c>
      <c r="B88" s="148" t="s">
        <v>287</v>
      </c>
      <c r="C88" s="28" t="s">
        <v>80</v>
      </c>
      <c r="D88" s="148" t="s">
        <v>368</v>
      </c>
      <c r="E88" s="148" t="s">
        <v>413</v>
      </c>
      <c r="F88" s="28" t="s">
        <v>160</v>
      </c>
      <c r="G88" s="148" t="s">
        <v>457</v>
      </c>
      <c r="H88" s="28" t="s">
        <v>129</v>
      </c>
      <c r="J88" s="154">
        <f t="shared" si="16"/>
        <v>0.33611111111111031</v>
      </c>
      <c r="K88" s="155">
        <f t="shared" si="12"/>
        <v>89.405555555556916</v>
      </c>
      <c r="L88" s="154">
        <f t="shared" si="7"/>
        <v>0.6361111111111093</v>
      </c>
      <c r="M88" s="155">
        <f t="shared" si="14"/>
        <v>169.20555555555671</v>
      </c>
      <c r="N88" s="154">
        <f t="shared" si="11"/>
        <v>0.93611111111110823</v>
      </c>
      <c r="O88" s="155">
        <f t="shared" si="15"/>
        <v>249.00555555555576</v>
      </c>
    </row>
    <row r="89" spans="1:15">
      <c r="A89" s="146">
        <f t="shared" si="13"/>
        <v>0.94166666666666576</v>
      </c>
      <c r="B89" s="148" t="s">
        <v>286</v>
      </c>
      <c r="C89" s="28" t="s">
        <v>79</v>
      </c>
      <c r="D89" s="148" t="s">
        <v>367</v>
      </c>
      <c r="E89" s="148" t="s">
        <v>412</v>
      </c>
      <c r="F89" s="28" t="s">
        <v>159</v>
      </c>
      <c r="G89" s="148" t="s">
        <v>321</v>
      </c>
      <c r="H89" s="28" t="s">
        <v>223</v>
      </c>
      <c r="J89" s="154">
        <f t="shared" si="16"/>
        <v>0.33888888888888807</v>
      </c>
      <c r="K89" s="155">
        <f t="shared" si="12"/>
        <v>90.14444444444581</v>
      </c>
      <c r="L89" s="154">
        <f t="shared" ref="L89:L111" si="17">L88+0.00277777777777777</f>
        <v>0.63888888888888706</v>
      </c>
      <c r="M89" s="155">
        <f t="shared" si="14"/>
        <v>169.94444444444559</v>
      </c>
      <c r="N89" s="154">
        <f t="shared" si="11"/>
        <v>0.938888888888886</v>
      </c>
      <c r="O89" s="155">
        <f t="shared" si="15"/>
        <v>249.74444444444464</v>
      </c>
    </row>
    <row r="90" spans="1:15">
      <c r="A90" s="146">
        <f t="shared" si="13"/>
        <v>0.94444444444444353</v>
      </c>
      <c r="B90" s="148" t="s">
        <v>285</v>
      </c>
      <c r="C90" s="28" t="s">
        <v>78</v>
      </c>
      <c r="D90" s="148" t="s">
        <v>366</v>
      </c>
      <c r="E90" s="148" t="s">
        <v>115</v>
      </c>
      <c r="F90" s="28" t="s">
        <v>158</v>
      </c>
      <c r="G90" s="148" t="s">
        <v>456</v>
      </c>
      <c r="H90" s="28" t="s">
        <v>222</v>
      </c>
      <c r="J90" s="154">
        <f t="shared" si="16"/>
        <v>0.34166666666666584</v>
      </c>
      <c r="K90" s="155">
        <f t="shared" si="12"/>
        <v>90.883333333334704</v>
      </c>
      <c r="L90" s="154">
        <f t="shared" si="17"/>
        <v>0.64166666666666483</v>
      </c>
      <c r="M90" s="155">
        <f t="shared" si="14"/>
        <v>170.68333333333447</v>
      </c>
      <c r="N90" s="154">
        <f t="shared" si="11"/>
        <v>0.94166666666666377</v>
      </c>
      <c r="O90" s="155">
        <f t="shared" si="15"/>
        <v>250.48333333333352</v>
      </c>
    </row>
    <row r="91" spans="1:15">
      <c r="A91" s="146">
        <f t="shared" si="13"/>
        <v>0.9472222222222213</v>
      </c>
      <c r="B91" s="148" t="s">
        <v>284</v>
      </c>
      <c r="C91" s="28" t="s">
        <v>77</v>
      </c>
      <c r="D91" s="148" t="s">
        <v>365</v>
      </c>
      <c r="E91" s="148" t="s">
        <v>411</v>
      </c>
      <c r="F91" s="28" t="s">
        <v>157</v>
      </c>
      <c r="G91" s="148" t="s">
        <v>455</v>
      </c>
      <c r="H91" s="28" t="s">
        <v>221</v>
      </c>
      <c r="J91" s="154">
        <f t="shared" si="16"/>
        <v>0.34444444444444361</v>
      </c>
      <c r="K91" s="155">
        <f t="shared" si="12"/>
        <v>91.622222222223598</v>
      </c>
      <c r="L91" s="154">
        <f t="shared" si="17"/>
        <v>0.6444444444444426</v>
      </c>
      <c r="M91" s="155">
        <f t="shared" si="14"/>
        <v>171.42222222222335</v>
      </c>
      <c r="N91" s="154">
        <f t="shared" si="11"/>
        <v>0.94444444444444153</v>
      </c>
      <c r="O91" s="155">
        <f t="shared" si="15"/>
        <v>251.2222222222224</v>
      </c>
    </row>
    <row r="92" spans="1:15">
      <c r="A92" s="146">
        <f t="shared" si="13"/>
        <v>0.94999999999999907</v>
      </c>
      <c r="B92" s="148" t="s">
        <v>283</v>
      </c>
      <c r="C92" s="28" t="s">
        <v>76</v>
      </c>
      <c r="D92" s="148" t="s">
        <v>364</v>
      </c>
      <c r="E92" s="148" t="s">
        <v>410</v>
      </c>
      <c r="F92" s="28" t="s">
        <v>156</v>
      </c>
      <c r="G92" s="148" t="s">
        <v>454</v>
      </c>
      <c r="H92" s="28" t="s">
        <v>220</v>
      </c>
      <c r="J92" s="154">
        <f t="shared" si="16"/>
        <v>0.34722222222222138</v>
      </c>
      <c r="K92" s="155">
        <f t="shared" si="12"/>
        <v>92.361111111112493</v>
      </c>
      <c r="L92" s="154">
        <f t="shared" si="17"/>
        <v>0.64722222222222037</v>
      </c>
      <c r="M92" s="155">
        <f t="shared" si="14"/>
        <v>172.16111111111223</v>
      </c>
      <c r="N92" s="154">
        <f t="shared" si="11"/>
        <v>0.9472222222222193</v>
      </c>
      <c r="O92" s="155">
        <f t="shared" si="15"/>
        <v>251.96111111111128</v>
      </c>
    </row>
    <row r="93" spans="1:15">
      <c r="A93" s="146">
        <f t="shared" si="13"/>
        <v>0.95277777777777684</v>
      </c>
      <c r="B93" s="148" t="s">
        <v>282</v>
      </c>
      <c r="C93" s="28" t="s">
        <v>75</v>
      </c>
      <c r="D93" s="148" t="s">
        <v>363</v>
      </c>
      <c r="E93" s="148" t="s">
        <v>396</v>
      </c>
      <c r="F93" s="28" t="s">
        <v>155</v>
      </c>
      <c r="G93" s="148" t="s">
        <v>428</v>
      </c>
      <c r="H93" s="28" t="s">
        <v>219</v>
      </c>
      <c r="J93" s="154">
        <f t="shared" si="16"/>
        <v>0.34999999999999915</v>
      </c>
      <c r="K93" s="155">
        <f t="shared" si="12"/>
        <v>93.100000000001387</v>
      </c>
      <c r="L93" s="154">
        <f t="shared" si="17"/>
        <v>0.64999999999999813</v>
      </c>
      <c r="M93" s="155">
        <f t="shared" si="14"/>
        <v>172.90000000000111</v>
      </c>
      <c r="N93" s="154">
        <f t="shared" si="11"/>
        <v>0.94999999999999707</v>
      </c>
      <c r="O93" s="155">
        <f t="shared" si="15"/>
        <v>252.70000000000016</v>
      </c>
    </row>
    <row r="94" spans="1:15">
      <c r="A94" s="146">
        <f t="shared" si="13"/>
        <v>0.9555555555555546</v>
      </c>
      <c r="B94" s="148" t="s">
        <v>281</v>
      </c>
      <c r="C94" s="28" t="s">
        <v>74</v>
      </c>
      <c r="D94" s="148" t="s">
        <v>362</v>
      </c>
      <c r="E94" s="148" t="s">
        <v>409</v>
      </c>
      <c r="F94" s="28" t="s">
        <v>99</v>
      </c>
      <c r="G94" s="148" t="s">
        <v>453</v>
      </c>
      <c r="H94" s="28" t="s">
        <v>218</v>
      </c>
      <c r="J94" s="154">
        <f t="shared" si="16"/>
        <v>0.35277777777777691</v>
      </c>
      <c r="K94" s="155">
        <f t="shared" si="12"/>
        <v>93.838888888890281</v>
      </c>
      <c r="L94" s="154">
        <f t="shared" si="17"/>
        <v>0.6527777777777759</v>
      </c>
      <c r="M94" s="155">
        <f t="shared" si="14"/>
        <v>173.63888888888999</v>
      </c>
      <c r="N94" s="154">
        <f t="shared" si="11"/>
        <v>0.95277777777777484</v>
      </c>
      <c r="O94" s="155">
        <f t="shared" si="15"/>
        <v>253.43888888888904</v>
      </c>
    </row>
    <row r="95" spans="1:15">
      <c r="A95" s="146">
        <f t="shared" si="13"/>
        <v>0.95833333333333237</v>
      </c>
      <c r="B95" s="148" t="s">
        <v>280</v>
      </c>
      <c r="C95" s="28" t="s">
        <v>73</v>
      </c>
      <c r="D95" s="148" t="s">
        <v>361</v>
      </c>
      <c r="E95" s="148" t="s">
        <v>408</v>
      </c>
      <c r="F95" s="28" t="s">
        <v>98</v>
      </c>
      <c r="G95" s="148" t="s">
        <v>426</v>
      </c>
      <c r="H95" s="28" t="s">
        <v>123</v>
      </c>
      <c r="J95" s="154">
        <f t="shared" si="16"/>
        <v>0.35555555555555468</v>
      </c>
      <c r="K95" s="155">
        <f t="shared" si="12"/>
        <v>94.577777777779175</v>
      </c>
      <c r="L95" s="154">
        <f t="shared" si="17"/>
        <v>0.65555555555555367</v>
      </c>
      <c r="M95" s="155">
        <f t="shared" si="14"/>
        <v>174.37777777777887</v>
      </c>
      <c r="N95" s="154">
        <f t="shared" si="11"/>
        <v>0.9555555555555526</v>
      </c>
      <c r="O95" s="155">
        <f t="shared" si="15"/>
        <v>254.17777777777792</v>
      </c>
    </row>
    <row r="96" spans="1:15">
      <c r="A96" s="146">
        <f t="shared" si="13"/>
        <v>0.96111111111111014</v>
      </c>
      <c r="B96" s="148" t="s">
        <v>279</v>
      </c>
      <c r="C96" s="28" t="s">
        <v>72</v>
      </c>
      <c r="D96" s="148" t="s">
        <v>360</v>
      </c>
      <c r="E96" s="148" t="s">
        <v>299</v>
      </c>
      <c r="F96" s="28" t="s">
        <v>139</v>
      </c>
      <c r="G96" s="148" t="s">
        <v>316</v>
      </c>
      <c r="H96" s="28" t="s">
        <v>177</v>
      </c>
      <c r="J96" s="154">
        <f t="shared" si="16"/>
        <v>0.35833333333333245</v>
      </c>
      <c r="K96" s="155">
        <f t="shared" si="12"/>
        <v>95.31666666666807</v>
      </c>
      <c r="L96" s="154">
        <f t="shared" si="17"/>
        <v>0.65833333333333144</v>
      </c>
      <c r="M96" s="155">
        <f t="shared" si="14"/>
        <v>175.11666666666775</v>
      </c>
      <c r="N96" s="154">
        <f t="shared" si="11"/>
        <v>0.95833333333333037</v>
      </c>
      <c r="O96" s="155">
        <f t="shared" si="15"/>
        <v>254.9166666666668</v>
      </c>
    </row>
    <row r="97" spans="1:15">
      <c r="A97" s="146">
        <f t="shared" si="13"/>
        <v>0.96388888888888791</v>
      </c>
      <c r="B97" s="148" t="s">
        <v>278</v>
      </c>
      <c r="C97" s="28" t="s">
        <v>71</v>
      </c>
      <c r="D97" s="148" t="s">
        <v>359</v>
      </c>
      <c r="E97" s="148" t="s">
        <v>407</v>
      </c>
      <c r="F97" s="28" t="s">
        <v>154</v>
      </c>
      <c r="G97" s="148" t="s">
        <v>452</v>
      </c>
      <c r="H97" s="28" t="s">
        <v>217</v>
      </c>
      <c r="J97" s="154">
        <f t="shared" si="16"/>
        <v>0.36111111111111022</v>
      </c>
      <c r="K97" s="155">
        <f t="shared" si="12"/>
        <v>96.055555555556964</v>
      </c>
      <c r="L97" s="154">
        <f t="shared" si="17"/>
        <v>0.66111111111110921</v>
      </c>
      <c r="M97" s="155">
        <f t="shared" si="14"/>
        <v>175.85555555555663</v>
      </c>
      <c r="N97" s="154">
        <f t="shared" si="11"/>
        <v>0.96111111111110814</v>
      </c>
      <c r="O97" s="155">
        <f t="shared" si="15"/>
        <v>255.65555555555568</v>
      </c>
    </row>
    <row r="98" spans="1:15">
      <c r="A98" s="146">
        <f t="shared" si="13"/>
        <v>0.96666666666666567</v>
      </c>
      <c r="B98" s="148" t="s">
        <v>277</v>
      </c>
      <c r="C98" s="28" t="s">
        <v>70</v>
      </c>
      <c r="D98" s="148" t="s">
        <v>358</v>
      </c>
      <c r="E98" s="148" t="s">
        <v>406</v>
      </c>
      <c r="F98" s="28" t="s">
        <v>153</v>
      </c>
      <c r="G98" s="148" t="s">
        <v>451</v>
      </c>
      <c r="H98" s="28" t="s">
        <v>216</v>
      </c>
      <c r="J98" s="154">
        <f t="shared" si="16"/>
        <v>0.36388888888888798</v>
      </c>
      <c r="K98" s="155">
        <f t="shared" si="12"/>
        <v>96.794444444445858</v>
      </c>
      <c r="L98" s="154">
        <f t="shared" si="17"/>
        <v>0.66388888888888697</v>
      </c>
      <c r="M98" s="155">
        <f t="shared" si="14"/>
        <v>176.59444444444551</v>
      </c>
      <c r="N98" s="154">
        <f t="shared" si="11"/>
        <v>0.96388888888888591</v>
      </c>
      <c r="O98" s="155">
        <f t="shared" si="15"/>
        <v>256.39444444444456</v>
      </c>
    </row>
    <row r="99" spans="1:15">
      <c r="A99" s="146">
        <f t="shared" si="13"/>
        <v>0.96944444444444344</v>
      </c>
      <c r="B99" s="148" t="s">
        <v>276</v>
      </c>
      <c r="C99" s="28" t="s">
        <v>69</v>
      </c>
      <c r="D99" s="148" t="s">
        <v>357</v>
      </c>
      <c r="E99" s="148" t="s">
        <v>405</v>
      </c>
      <c r="F99" s="28" t="s">
        <v>152</v>
      </c>
      <c r="G99" s="148" t="s">
        <v>450</v>
      </c>
      <c r="H99" s="28" t="s">
        <v>215</v>
      </c>
      <c r="J99" s="154">
        <f t="shared" si="16"/>
        <v>0.36666666666666575</v>
      </c>
      <c r="K99" s="155">
        <f t="shared" ref="K99:K110" si="18">K100-(O$111*0.2/72)</f>
        <v>97.533333333334753</v>
      </c>
      <c r="L99" s="154">
        <f t="shared" si="17"/>
        <v>0.66666666666666474</v>
      </c>
      <c r="M99" s="155">
        <f t="shared" si="14"/>
        <v>177.33333333333439</v>
      </c>
      <c r="N99" s="154">
        <f>N98+0.00277777777777777</f>
        <v>0.96666666666666368</v>
      </c>
      <c r="O99" s="155">
        <f t="shared" si="15"/>
        <v>257.13333333333344</v>
      </c>
    </row>
    <row r="100" spans="1:15">
      <c r="A100" s="146">
        <f t="shared" si="13"/>
        <v>0.97222222222222121</v>
      </c>
      <c r="B100" s="148" t="s">
        <v>275</v>
      </c>
      <c r="C100" s="28" t="s">
        <v>68</v>
      </c>
      <c r="D100" s="148" t="s">
        <v>356</v>
      </c>
      <c r="E100" s="148" t="s">
        <v>106</v>
      </c>
      <c r="F100" s="28" t="s">
        <v>151</v>
      </c>
      <c r="G100" s="148" t="s">
        <v>186</v>
      </c>
      <c r="H100" s="28" t="s">
        <v>214</v>
      </c>
      <c r="J100" s="154">
        <f t="shared" si="16"/>
        <v>0.36944444444444352</v>
      </c>
      <c r="K100" s="155">
        <f t="shared" si="18"/>
        <v>98.272222222223647</v>
      </c>
      <c r="L100" s="154">
        <f t="shared" si="17"/>
        <v>0.66944444444444251</v>
      </c>
      <c r="M100" s="155">
        <f t="shared" ref="M100:M110" si="19">M101-(O$111*0.2/72)</f>
        <v>178.07222222222327</v>
      </c>
      <c r="N100" s="154">
        <f t="shared" si="11"/>
        <v>0.96944444444444144</v>
      </c>
      <c r="O100" s="155">
        <f t="shared" ref="O100:O110" si="20">O101-(O$111*0.2/72)</f>
        <v>257.87222222222232</v>
      </c>
    </row>
    <row r="101" spans="1:15">
      <c r="A101" s="146">
        <f t="shared" si="13"/>
        <v>0.97499999999999898</v>
      </c>
      <c r="B101" s="148" t="s">
        <v>274</v>
      </c>
      <c r="C101" s="28" t="s">
        <v>67</v>
      </c>
      <c r="D101" s="148" t="s">
        <v>355</v>
      </c>
      <c r="E101" s="148" t="s">
        <v>390</v>
      </c>
      <c r="F101" s="28" t="s">
        <v>150</v>
      </c>
      <c r="G101" s="148" t="s">
        <v>185</v>
      </c>
      <c r="H101" s="28" t="s">
        <v>213</v>
      </c>
      <c r="J101" s="154">
        <f t="shared" si="16"/>
        <v>0.37222222222222129</v>
      </c>
      <c r="K101" s="155">
        <f t="shared" si="18"/>
        <v>99.011111111112541</v>
      </c>
      <c r="L101" s="154">
        <f t="shared" si="17"/>
        <v>0.67222222222222028</v>
      </c>
      <c r="M101" s="155">
        <f t="shared" si="19"/>
        <v>178.81111111111215</v>
      </c>
      <c r="N101" s="154">
        <f t="shared" si="11"/>
        <v>0.97222222222221921</v>
      </c>
      <c r="O101" s="155">
        <f t="shared" si="20"/>
        <v>258.6111111111112</v>
      </c>
    </row>
    <row r="102" spans="1:15">
      <c r="A102" s="146">
        <f t="shared" si="13"/>
        <v>0.97777777777777675</v>
      </c>
      <c r="B102" s="148" t="s">
        <v>273</v>
      </c>
      <c r="C102" s="28" t="s">
        <v>66</v>
      </c>
      <c r="D102" s="148" t="s">
        <v>354</v>
      </c>
      <c r="E102" s="148" t="s">
        <v>404</v>
      </c>
      <c r="F102" s="28" t="s">
        <v>149</v>
      </c>
      <c r="G102" s="148" t="s">
        <v>449</v>
      </c>
      <c r="H102" s="28" t="s">
        <v>117</v>
      </c>
      <c r="J102" s="154">
        <f t="shared" si="16"/>
        <v>0.37499999999999906</v>
      </c>
      <c r="K102" s="155">
        <f t="shared" si="18"/>
        <v>99.750000000001435</v>
      </c>
      <c r="L102" s="154">
        <f t="shared" si="17"/>
        <v>0.67499999999999805</v>
      </c>
      <c r="M102" s="155">
        <f t="shared" si="19"/>
        <v>179.55000000000103</v>
      </c>
      <c r="N102" s="154">
        <f t="shared" si="11"/>
        <v>0.97499999999999698</v>
      </c>
      <c r="O102" s="155">
        <f t="shared" si="20"/>
        <v>259.35000000000008</v>
      </c>
    </row>
    <row r="103" spans="1:15">
      <c r="A103" s="146">
        <f t="shared" si="13"/>
        <v>0.98055555555555451</v>
      </c>
      <c r="B103" s="148" t="s">
        <v>272</v>
      </c>
      <c r="C103" s="28" t="s">
        <v>65</v>
      </c>
      <c r="D103" s="148" t="s">
        <v>353</v>
      </c>
      <c r="E103" s="148" t="s">
        <v>403</v>
      </c>
      <c r="F103" s="28" t="s">
        <v>148</v>
      </c>
      <c r="G103" s="148" t="s">
        <v>129</v>
      </c>
      <c r="H103" s="28" t="s">
        <v>212</v>
      </c>
      <c r="J103" s="154">
        <f t="shared" si="16"/>
        <v>0.37777777777777682</v>
      </c>
      <c r="K103" s="155">
        <f t="shared" si="18"/>
        <v>100.48888888889033</v>
      </c>
      <c r="L103" s="154">
        <f t="shared" si="17"/>
        <v>0.67777777777777581</v>
      </c>
      <c r="M103" s="155">
        <f t="shared" si="19"/>
        <v>180.28888888888991</v>
      </c>
      <c r="N103" s="154">
        <f t="shared" si="11"/>
        <v>0.97777777777777475</v>
      </c>
      <c r="O103" s="155">
        <f t="shared" si="20"/>
        <v>260.08888888888896</v>
      </c>
    </row>
    <row r="104" spans="1:15">
      <c r="A104" s="146">
        <f t="shared" si="13"/>
        <v>0.98333333333333228</v>
      </c>
      <c r="B104" s="148" t="s">
        <v>271</v>
      </c>
      <c r="C104" s="28" t="s">
        <v>64</v>
      </c>
      <c r="D104" s="148" t="s">
        <v>352</v>
      </c>
      <c r="E104" s="148" t="s">
        <v>402</v>
      </c>
      <c r="F104" s="28" t="s">
        <v>147</v>
      </c>
      <c r="G104" s="148" t="s">
        <v>223</v>
      </c>
      <c r="H104" s="28" t="s">
        <v>211</v>
      </c>
      <c r="J104" s="154">
        <f t="shared" si="16"/>
        <v>0.38055555555555459</v>
      </c>
      <c r="K104" s="155">
        <f t="shared" si="18"/>
        <v>101.22777777777922</v>
      </c>
      <c r="L104" s="154">
        <f t="shared" si="17"/>
        <v>0.68055555555555358</v>
      </c>
      <c r="M104" s="155">
        <f t="shared" si="19"/>
        <v>181.02777777777879</v>
      </c>
      <c r="N104" s="154">
        <f t="shared" si="11"/>
        <v>0.98055555555555252</v>
      </c>
      <c r="O104" s="155">
        <f t="shared" si="20"/>
        <v>260.82777777777784</v>
      </c>
    </row>
    <row r="105" spans="1:15">
      <c r="A105" s="146">
        <f t="shared" si="13"/>
        <v>0.98611111111111005</v>
      </c>
      <c r="B105" s="148" t="s">
        <v>270</v>
      </c>
      <c r="C105" s="28" t="s">
        <v>63</v>
      </c>
      <c r="D105" s="148" t="s">
        <v>351</v>
      </c>
      <c r="E105" s="148" t="s">
        <v>401</v>
      </c>
      <c r="F105" s="28" t="s">
        <v>146</v>
      </c>
      <c r="G105" s="148" t="s">
        <v>222</v>
      </c>
      <c r="H105" s="28" t="s">
        <v>210</v>
      </c>
      <c r="J105" s="154">
        <f t="shared" si="16"/>
        <v>0.38333333333333236</v>
      </c>
      <c r="K105" s="155">
        <f t="shared" si="18"/>
        <v>101.96666666666812</v>
      </c>
      <c r="L105" s="154">
        <f t="shared" si="17"/>
        <v>0.68333333333333135</v>
      </c>
      <c r="M105" s="155">
        <f t="shared" si="19"/>
        <v>181.76666666666767</v>
      </c>
      <c r="N105" s="154">
        <f t="shared" si="11"/>
        <v>0.98333333333333028</v>
      </c>
      <c r="O105" s="155">
        <f t="shared" si="20"/>
        <v>261.56666666666672</v>
      </c>
    </row>
    <row r="106" spans="1:15">
      <c r="A106" s="146">
        <f t="shared" si="13"/>
        <v>0.98888888888888782</v>
      </c>
      <c r="B106" s="148" t="s">
        <v>75</v>
      </c>
      <c r="C106" s="28" t="s">
        <v>61</v>
      </c>
      <c r="D106" s="148" t="s">
        <v>350</v>
      </c>
      <c r="E106" s="148" t="s">
        <v>400</v>
      </c>
      <c r="F106" s="28" t="s">
        <v>145</v>
      </c>
      <c r="G106" s="148" t="s">
        <v>221</v>
      </c>
      <c r="H106" s="28" t="s">
        <v>209</v>
      </c>
      <c r="J106" s="154">
        <f t="shared" si="16"/>
        <v>0.38611111111111013</v>
      </c>
      <c r="K106" s="155">
        <f t="shared" si="18"/>
        <v>102.70555555555701</v>
      </c>
      <c r="L106" s="154">
        <f t="shared" si="17"/>
        <v>0.68611111111110912</v>
      </c>
      <c r="M106" s="155">
        <f t="shared" si="19"/>
        <v>182.50555555555655</v>
      </c>
      <c r="N106" s="154">
        <f t="shared" si="11"/>
        <v>0.98611111111110805</v>
      </c>
      <c r="O106" s="155">
        <f t="shared" si="20"/>
        <v>262.3055555555556</v>
      </c>
    </row>
    <row r="107" spans="1:15">
      <c r="A107" s="146">
        <f t="shared" si="13"/>
        <v>0.99166666666666559</v>
      </c>
      <c r="B107" s="148" t="s">
        <v>269</v>
      </c>
      <c r="C107" s="28" t="s">
        <v>60</v>
      </c>
      <c r="D107" s="148" t="s">
        <v>349</v>
      </c>
      <c r="E107" s="148" t="s">
        <v>155</v>
      </c>
      <c r="F107" s="28" t="s">
        <v>144</v>
      </c>
      <c r="G107" s="148" t="s">
        <v>418</v>
      </c>
      <c r="H107" s="28" t="s">
        <v>167</v>
      </c>
      <c r="J107" s="154">
        <f t="shared" si="16"/>
        <v>0.3888888888888879</v>
      </c>
      <c r="K107" s="155">
        <f t="shared" si="18"/>
        <v>103.44444444444591</v>
      </c>
      <c r="L107" s="154">
        <f t="shared" si="17"/>
        <v>0.68888888888888689</v>
      </c>
      <c r="M107" s="155">
        <f t="shared" si="19"/>
        <v>183.24444444444543</v>
      </c>
      <c r="N107" s="154">
        <f t="shared" si="11"/>
        <v>0.98888888888888582</v>
      </c>
      <c r="O107" s="155">
        <f t="shared" si="20"/>
        <v>263.04444444444448</v>
      </c>
    </row>
    <row r="108" spans="1:15">
      <c r="A108" s="146">
        <f t="shared" si="13"/>
        <v>0.99444444444444335</v>
      </c>
      <c r="B108" s="148" t="s">
        <v>73</v>
      </c>
      <c r="C108" s="28" t="s">
        <v>59</v>
      </c>
      <c r="D108" s="148" t="s">
        <v>348</v>
      </c>
      <c r="E108" s="148" t="s">
        <v>99</v>
      </c>
      <c r="F108" s="28" t="s">
        <v>143</v>
      </c>
      <c r="G108" s="148" t="s">
        <v>179</v>
      </c>
      <c r="H108" s="28" t="s">
        <v>166</v>
      </c>
      <c r="J108" s="154">
        <f t="shared" si="16"/>
        <v>0.39166666666666566</v>
      </c>
      <c r="K108" s="155">
        <f t="shared" si="18"/>
        <v>104.1833333333348</v>
      </c>
      <c r="L108" s="154">
        <f t="shared" si="17"/>
        <v>0.69166666666666465</v>
      </c>
      <c r="M108" s="155">
        <f t="shared" si="19"/>
        <v>183.98333333333431</v>
      </c>
      <c r="N108" s="154">
        <f t="shared" si="11"/>
        <v>0.99166666666666359</v>
      </c>
      <c r="O108" s="155">
        <f t="shared" si="20"/>
        <v>263.78333333333336</v>
      </c>
    </row>
    <row r="109" spans="1:15">
      <c r="A109" s="146">
        <f t="shared" si="13"/>
        <v>0.99722222222222112</v>
      </c>
      <c r="B109" s="148" t="s">
        <v>72</v>
      </c>
      <c r="C109" s="28" t="s">
        <v>58</v>
      </c>
      <c r="D109" s="148" t="s">
        <v>347</v>
      </c>
      <c r="E109" s="148" t="s">
        <v>98</v>
      </c>
      <c r="F109" s="28" t="s">
        <v>85</v>
      </c>
      <c r="G109" s="148" t="s">
        <v>124</v>
      </c>
      <c r="H109" s="28" t="s">
        <v>208</v>
      </c>
      <c r="J109" s="154">
        <f t="shared" si="16"/>
        <v>0.39444444444444343</v>
      </c>
      <c r="K109" s="155">
        <f t="shared" si="18"/>
        <v>104.9222222222237</v>
      </c>
      <c r="L109" s="154">
        <f t="shared" si="17"/>
        <v>0.69444444444444242</v>
      </c>
      <c r="M109" s="155">
        <f t="shared" si="19"/>
        <v>184.72222222222319</v>
      </c>
      <c r="N109" s="154">
        <f t="shared" ref="N109:N111" si="21">N108+0.00277777777777777</f>
        <v>0.99444444444444136</v>
      </c>
      <c r="O109" s="155">
        <f t="shared" si="20"/>
        <v>264.52222222222224</v>
      </c>
    </row>
    <row r="110" spans="1:15">
      <c r="A110" s="146">
        <f t="shared" si="13"/>
        <v>0.99999999999999889</v>
      </c>
      <c r="B110" s="144" t="s">
        <v>71</v>
      </c>
      <c r="C110" s="144" t="s">
        <v>62</v>
      </c>
      <c r="D110" s="144" t="s">
        <v>138</v>
      </c>
      <c r="E110" s="144" t="s">
        <v>139</v>
      </c>
      <c r="F110" s="28" t="s">
        <v>140</v>
      </c>
      <c r="G110" s="28" t="s">
        <v>141</v>
      </c>
      <c r="H110" s="144" t="s">
        <v>142</v>
      </c>
      <c r="J110" s="154">
        <f t="shared" si="16"/>
        <v>0.3972222222222212</v>
      </c>
      <c r="K110" s="155">
        <f t="shared" si="18"/>
        <v>105.66111111111259</v>
      </c>
      <c r="L110" s="154">
        <f t="shared" si="17"/>
        <v>0.69722222222222019</v>
      </c>
      <c r="M110" s="155">
        <f t="shared" si="19"/>
        <v>185.46111111111207</v>
      </c>
      <c r="N110" s="154">
        <f t="shared" si="21"/>
        <v>0.99722222222221912</v>
      </c>
      <c r="O110" s="155">
        <f t="shared" si="20"/>
        <v>265.26111111111112</v>
      </c>
    </row>
    <row r="111" spans="1:15">
      <c r="B111" s="28" t="s">
        <v>131</v>
      </c>
      <c r="C111" s="144" t="s">
        <v>132</v>
      </c>
      <c r="D111" s="28" t="s">
        <v>133</v>
      </c>
      <c r="E111" s="144" t="s">
        <v>134</v>
      </c>
      <c r="F111" s="28" t="s">
        <v>135</v>
      </c>
      <c r="G111" s="28" t="s">
        <v>136</v>
      </c>
      <c r="H111" s="144" t="s">
        <v>137</v>
      </c>
      <c r="J111" s="154">
        <f t="shared" si="16"/>
        <v>0.39999999999999897</v>
      </c>
      <c r="K111" s="155">
        <f>M4-(O$111*0.2/72)</f>
        <v>106.40000000000148</v>
      </c>
      <c r="L111" s="154">
        <f t="shared" si="17"/>
        <v>0.69999999999999796</v>
      </c>
      <c r="M111" s="155">
        <f>O4-(O$111*0.2/72)</f>
        <v>186.20000000000095</v>
      </c>
      <c r="N111" s="154">
        <f t="shared" si="21"/>
        <v>0.99999999999999689</v>
      </c>
      <c r="O111" s="28">
        <f>J1</f>
        <v>266</v>
      </c>
    </row>
  </sheetData>
  <sortState ref="E1:E73">
    <sortCondition ref="E1"/>
  </sortState>
  <phoneticPr fontId="0" type="noConversion"/>
  <pageMargins left="0.78740157499999996" right="0.78740157499999996" top="0.984251969" bottom="0.984251969" header="0.49212598499999999" footer="0.49212598499999999"/>
  <pageSetup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Drive 266</vt:lpstr>
      <vt:lpstr>Cálculos</vt:lpstr>
      <vt:lpstr>Calibrador</vt:lpstr>
    </vt:vector>
  </TitlesOfParts>
  <Company>Thiago`s Home]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266</dc:title>
  <dc:creator>Rin</dc:creator>
  <dc:description>versao 1, 3/05/11 19:30</dc:description>
  <cp:lastModifiedBy>Zuy</cp:lastModifiedBy>
  <dcterms:created xsi:type="dcterms:W3CDTF">2009-05-27T15:08:08Z</dcterms:created>
  <dcterms:modified xsi:type="dcterms:W3CDTF">2014-04-11T21:03:37Z</dcterms:modified>
</cp:coreProperties>
</file>